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C:\Users\Dell\Documents\BVK\BOI 2025\"/>
    </mc:Choice>
  </mc:AlternateContent>
  <xr:revisionPtr revIDLastSave="0" documentId="13_ncr:1_{268AF3EB-6636-42E3-A27E-82946D51C7E7}" xr6:coauthVersionLast="47" xr6:coauthVersionMax="47" xr10:uidLastSave="{00000000-0000-0000-0000-000000000000}"/>
  <bookViews>
    <workbookView xWindow="-98" yWindow="-98" windowWidth="23236" windowHeight="14595" xr2:uid="{328FE203-9F56-4A0B-9B98-3DFF0FEA6C63}"/>
  </bookViews>
  <sheets>
    <sheet name="BOI indikátorok és módszertan" sheetId="1" r:id="rId1"/>
    <sheet name="BOI" sheetId="6" r:id="rId2"/>
    <sheet name="BOI súlyozás" sheetId="9" r:id="rId3"/>
    <sheet name="BOI súlyozott átlagok" sheetId="8" r:id="rId4"/>
    <sheet name="Lakosságszám" sheetId="7" r:id="rId5"/>
    <sheet name="Jövedelem" sheetId="10" r:id="rId6"/>
    <sheet name="Módszertan leírás" sheetId="2" r:id="rId7"/>
  </sheets>
  <definedNames>
    <definedName name="_xlnm._FilterDatabase" localSheetId="1" hidden="1">BOI!$B$1:$W$159</definedName>
    <definedName name="_xlnm._FilterDatabase" localSheetId="0" hidden="1">'BOI indikátorok és módszertan'!$A$1:$G$1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10" i="9" l="1"/>
  <c r="D4" i="8"/>
  <c r="E4" i="8"/>
  <c r="F4" i="8"/>
  <c r="G4" i="8"/>
  <c r="H4" i="8"/>
  <c r="I4" i="8"/>
  <c r="C4" i="8"/>
  <c r="S92" i="9" a="1"/>
  <c r="S92" i="9" s="1"/>
  <c r="R159" i="9"/>
  <c r="R92" i="9" a="1"/>
  <c r="R92" i="9" s="1"/>
  <c r="I7" i="6"/>
  <c r="K58" i="6"/>
  <c r="J58" i="6"/>
  <c r="I58" i="6"/>
  <c r="H58" i="6"/>
  <c r="G58" i="6"/>
  <c r="F58" i="6"/>
  <c r="E58" i="6"/>
  <c r="F55" i="6"/>
  <c r="G55" i="6"/>
  <c r="H55" i="6"/>
  <c r="I55" i="6"/>
  <c r="J55" i="6"/>
  <c r="K55" i="6"/>
  <c r="E55" i="6"/>
  <c r="E7" i="10"/>
  <c r="F7" i="10"/>
  <c r="G7" i="10"/>
  <c r="H7" i="10"/>
  <c r="I7" i="10"/>
  <c r="D7" i="10"/>
  <c r="C7" i="10"/>
  <c r="E6" i="10"/>
  <c r="F6" i="10"/>
  <c r="G6" i="10"/>
  <c r="H6" i="10"/>
  <c r="I6" i="10"/>
  <c r="D6" i="10"/>
  <c r="E4" i="10"/>
  <c r="F4" i="10"/>
  <c r="G4" i="10"/>
  <c r="H4" i="10"/>
  <c r="I4" i="10"/>
  <c r="D4" i="10"/>
  <c r="C3" i="10"/>
  <c r="E16" i="6" l="1"/>
  <c r="F16" i="6"/>
  <c r="G16" i="6"/>
  <c r="H16" i="6"/>
  <c r="I16" i="6"/>
  <c r="J16" i="6"/>
  <c r="K16" i="6"/>
  <c r="E90" i="6"/>
  <c r="L90" i="6" l="1"/>
  <c r="J90" i="6"/>
  <c r="Q90" i="6" s="1"/>
  <c r="I90" i="6"/>
  <c r="P90" i="6" s="1"/>
  <c r="H90" i="6"/>
  <c r="O90" i="6" s="1"/>
  <c r="G90" i="6"/>
  <c r="N90" i="6" s="1"/>
  <c r="F90" i="6"/>
  <c r="M90" i="6" s="1"/>
  <c r="E91" i="6"/>
  <c r="E92" i="6"/>
  <c r="E95" i="6"/>
  <c r="E96" i="6"/>
  <c r="Q91" i="9"/>
  <c r="P91" i="9"/>
  <c r="O91" i="9"/>
  <c r="N91" i="9"/>
  <c r="M91" i="9"/>
  <c r="L91" i="9"/>
  <c r="K91" i="9"/>
  <c r="K91" i="6"/>
  <c r="R91" i="6" s="1"/>
  <c r="J91" i="6"/>
  <c r="Q91" i="6" s="1"/>
  <c r="I91" i="6"/>
  <c r="P91" i="6" s="1"/>
  <c r="H91" i="6"/>
  <c r="O91" i="6" s="1"/>
  <c r="G91" i="6"/>
  <c r="N91" i="6" s="1"/>
  <c r="F91" i="6"/>
  <c r="M91" i="6" s="1"/>
  <c r="D3" i="7"/>
  <c r="E3" i="7"/>
  <c r="F3" i="7"/>
  <c r="G3" i="7"/>
  <c r="H3" i="7"/>
  <c r="I3" i="7"/>
  <c r="C3" i="7"/>
  <c r="J68" i="6"/>
  <c r="I68" i="6"/>
  <c r="H68" i="6"/>
  <c r="G68" i="6"/>
  <c r="F68" i="6"/>
  <c r="S68" i="6" s="1"/>
  <c r="U68" i="6" s="1"/>
  <c r="E68" i="6"/>
  <c r="J148" i="6"/>
  <c r="S148" i="6" s="1"/>
  <c r="S97" i="6"/>
  <c r="T97" i="6" s="1"/>
  <c r="R144" i="9"/>
  <c r="R67" i="9"/>
  <c r="R32" i="9"/>
  <c r="K3" i="9"/>
  <c r="L3" i="9"/>
  <c r="M3" i="9"/>
  <c r="N3" i="9"/>
  <c r="O3" i="9"/>
  <c r="P3" i="9"/>
  <c r="Q3" i="9"/>
  <c r="K4" i="9"/>
  <c r="L4" i="9"/>
  <c r="M4" i="9"/>
  <c r="N4" i="9"/>
  <c r="O4" i="9"/>
  <c r="P4" i="9"/>
  <c r="Q4" i="9"/>
  <c r="N5" i="9"/>
  <c r="O5" i="9"/>
  <c r="P5" i="9"/>
  <c r="Q5" i="9"/>
  <c r="N6" i="9"/>
  <c r="O6" i="9"/>
  <c r="P6" i="9"/>
  <c r="Q6" i="9"/>
  <c r="K7" i="9"/>
  <c r="L7" i="9"/>
  <c r="M7" i="9"/>
  <c r="N7" i="9"/>
  <c r="O7" i="9"/>
  <c r="P7" i="9"/>
  <c r="Q7" i="9"/>
  <c r="K8" i="9"/>
  <c r="L8" i="9"/>
  <c r="M8" i="9"/>
  <c r="N8" i="9"/>
  <c r="O8" i="9"/>
  <c r="P8" i="9"/>
  <c r="Q8" i="9"/>
  <c r="K9" i="9"/>
  <c r="L9" i="9"/>
  <c r="M9" i="9"/>
  <c r="N9" i="9"/>
  <c r="O9" i="9"/>
  <c r="P9" i="9"/>
  <c r="Q9" i="9"/>
  <c r="K10" i="9"/>
  <c r="L10" i="9"/>
  <c r="M10" i="9"/>
  <c r="N10" i="9"/>
  <c r="O10" i="9"/>
  <c r="P10" i="9"/>
  <c r="Q10" i="9"/>
  <c r="K11" i="9"/>
  <c r="L11" i="9"/>
  <c r="M11" i="9"/>
  <c r="N11" i="9"/>
  <c r="O11" i="9"/>
  <c r="P11" i="9"/>
  <c r="Q11" i="9"/>
  <c r="K12" i="9"/>
  <c r="L12" i="9"/>
  <c r="M12" i="9"/>
  <c r="N12" i="9"/>
  <c r="O12" i="9"/>
  <c r="P12" i="9"/>
  <c r="Q12" i="9"/>
  <c r="K13" i="9"/>
  <c r="L13" i="9"/>
  <c r="M13" i="9"/>
  <c r="N13" i="9"/>
  <c r="O13" i="9"/>
  <c r="P13" i="9"/>
  <c r="Q13" i="9"/>
  <c r="K14" i="9"/>
  <c r="L14" i="9"/>
  <c r="M14" i="9"/>
  <c r="N14" i="9"/>
  <c r="O14" i="9"/>
  <c r="P14" i="9"/>
  <c r="Q14" i="9"/>
  <c r="K15" i="9"/>
  <c r="L15" i="9"/>
  <c r="M15" i="9"/>
  <c r="N15" i="9"/>
  <c r="O15" i="9"/>
  <c r="P15" i="9"/>
  <c r="Q15" i="9"/>
  <c r="K16" i="9"/>
  <c r="L16" i="9"/>
  <c r="M16" i="9"/>
  <c r="N16" i="9"/>
  <c r="O16" i="9"/>
  <c r="P16" i="9"/>
  <c r="Q16" i="9"/>
  <c r="K17" i="9"/>
  <c r="L17" i="9"/>
  <c r="M17" i="9"/>
  <c r="N17" i="9"/>
  <c r="O17" i="9"/>
  <c r="P17" i="9"/>
  <c r="Q17" i="9"/>
  <c r="K18" i="9"/>
  <c r="L18" i="9"/>
  <c r="M18" i="9"/>
  <c r="N18" i="9"/>
  <c r="O18" i="9"/>
  <c r="P18" i="9"/>
  <c r="Q18" i="9"/>
  <c r="K19" i="9"/>
  <c r="L19" i="9"/>
  <c r="M19" i="9"/>
  <c r="N19" i="9"/>
  <c r="O19" i="9"/>
  <c r="P19" i="9"/>
  <c r="Q19" i="9"/>
  <c r="K20" i="9"/>
  <c r="L20" i="9"/>
  <c r="M20" i="9"/>
  <c r="N20" i="9"/>
  <c r="O20" i="9"/>
  <c r="P20" i="9"/>
  <c r="Q20" i="9"/>
  <c r="K21" i="9"/>
  <c r="L21" i="9"/>
  <c r="M21" i="9"/>
  <c r="N21" i="9"/>
  <c r="O21" i="9"/>
  <c r="P21" i="9"/>
  <c r="Q21" i="9"/>
  <c r="K22" i="9"/>
  <c r="L22" i="9"/>
  <c r="M22" i="9"/>
  <c r="N22" i="9"/>
  <c r="O22" i="9"/>
  <c r="P22" i="9"/>
  <c r="Q22" i="9"/>
  <c r="K23" i="9"/>
  <c r="L23" i="9"/>
  <c r="M23" i="9"/>
  <c r="N23" i="9"/>
  <c r="O23" i="9"/>
  <c r="P23" i="9"/>
  <c r="Q23" i="9"/>
  <c r="K24" i="9"/>
  <c r="L24" i="9"/>
  <c r="M24" i="9"/>
  <c r="N24" i="9"/>
  <c r="O24" i="9"/>
  <c r="P24" i="9"/>
  <c r="Q24" i="9"/>
  <c r="K25" i="9"/>
  <c r="L25" i="9"/>
  <c r="M25" i="9"/>
  <c r="N25" i="9"/>
  <c r="O25" i="9"/>
  <c r="P25" i="9"/>
  <c r="Q25" i="9"/>
  <c r="K26" i="9"/>
  <c r="L26" i="9"/>
  <c r="M26" i="9"/>
  <c r="N26" i="9"/>
  <c r="O26" i="9"/>
  <c r="P26" i="9"/>
  <c r="Q26" i="9"/>
  <c r="K27" i="9"/>
  <c r="L27" i="9"/>
  <c r="M27" i="9"/>
  <c r="N27" i="9"/>
  <c r="O27" i="9"/>
  <c r="P27" i="9"/>
  <c r="Q27" i="9"/>
  <c r="K28" i="9"/>
  <c r="L28" i="9"/>
  <c r="M28" i="9"/>
  <c r="N28" i="9"/>
  <c r="O28" i="9"/>
  <c r="P28" i="9"/>
  <c r="Q28" i="9"/>
  <c r="K29" i="9"/>
  <c r="L29" i="9"/>
  <c r="M29" i="9"/>
  <c r="N29" i="9"/>
  <c r="O29" i="9"/>
  <c r="P29" i="9"/>
  <c r="Q29" i="9"/>
  <c r="K30" i="9"/>
  <c r="L30" i="9"/>
  <c r="M30" i="9"/>
  <c r="N30" i="9"/>
  <c r="O30" i="9"/>
  <c r="P30" i="9"/>
  <c r="Q30" i="9"/>
  <c r="K31" i="9"/>
  <c r="L31" i="9"/>
  <c r="M31" i="9"/>
  <c r="N31" i="9"/>
  <c r="O31" i="9"/>
  <c r="P31" i="9"/>
  <c r="Q31" i="9"/>
  <c r="K32" i="9"/>
  <c r="L32" i="9"/>
  <c r="M32" i="9"/>
  <c r="N32" i="9"/>
  <c r="O32" i="9"/>
  <c r="P32" i="9"/>
  <c r="Q32" i="9"/>
  <c r="K33" i="9"/>
  <c r="L33" i="9"/>
  <c r="M33" i="9"/>
  <c r="N33" i="9"/>
  <c r="O33" i="9"/>
  <c r="P33" i="9"/>
  <c r="Q33" i="9"/>
  <c r="K34" i="9"/>
  <c r="L34" i="9"/>
  <c r="M34" i="9"/>
  <c r="N34" i="9"/>
  <c r="O34" i="9"/>
  <c r="P34" i="9"/>
  <c r="Q34" i="9"/>
  <c r="K35" i="9"/>
  <c r="L35" i="9"/>
  <c r="M35" i="9"/>
  <c r="N35" i="9"/>
  <c r="O35" i="9"/>
  <c r="P35" i="9"/>
  <c r="Q35" i="9"/>
  <c r="K36" i="9"/>
  <c r="L36" i="9"/>
  <c r="M36" i="9"/>
  <c r="N36" i="9"/>
  <c r="O36" i="9"/>
  <c r="P36" i="9"/>
  <c r="Q36" i="9"/>
  <c r="K37" i="9"/>
  <c r="L37" i="9"/>
  <c r="M37" i="9"/>
  <c r="N37" i="9"/>
  <c r="O37" i="9"/>
  <c r="P37" i="9"/>
  <c r="Q37" i="9"/>
  <c r="K38" i="9"/>
  <c r="L38" i="9"/>
  <c r="M38" i="9"/>
  <c r="N38" i="9"/>
  <c r="O38" i="9"/>
  <c r="P38" i="9"/>
  <c r="Q38" i="9"/>
  <c r="K39" i="9"/>
  <c r="L39" i="9"/>
  <c r="M39" i="9"/>
  <c r="N39" i="9"/>
  <c r="O39" i="9"/>
  <c r="P39" i="9"/>
  <c r="Q39" i="9"/>
  <c r="K40" i="9"/>
  <c r="L40" i="9"/>
  <c r="M40" i="9"/>
  <c r="N40" i="9"/>
  <c r="O40" i="9"/>
  <c r="P40" i="9"/>
  <c r="Q40" i="9"/>
  <c r="K41" i="9"/>
  <c r="L41" i="9"/>
  <c r="M41" i="9"/>
  <c r="N41" i="9"/>
  <c r="O41" i="9"/>
  <c r="P41" i="9"/>
  <c r="Q41" i="9"/>
  <c r="K42" i="9"/>
  <c r="L42" i="9"/>
  <c r="M42" i="9"/>
  <c r="N42" i="9"/>
  <c r="O42" i="9"/>
  <c r="P42" i="9"/>
  <c r="Q42" i="9"/>
  <c r="K43" i="9"/>
  <c r="L43" i="9"/>
  <c r="M43" i="9"/>
  <c r="N43" i="9"/>
  <c r="O43" i="9"/>
  <c r="P43" i="9"/>
  <c r="Q43" i="9"/>
  <c r="K44" i="9"/>
  <c r="L44" i="9"/>
  <c r="M44" i="9"/>
  <c r="N44" i="9"/>
  <c r="O44" i="9"/>
  <c r="P44" i="9"/>
  <c r="Q44" i="9"/>
  <c r="K45" i="9"/>
  <c r="L45" i="9"/>
  <c r="M45" i="9"/>
  <c r="N45" i="9"/>
  <c r="O45" i="9"/>
  <c r="P45" i="9"/>
  <c r="Q45" i="9"/>
  <c r="K46" i="9"/>
  <c r="L46" i="9"/>
  <c r="M46" i="9"/>
  <c r="N46" i="9"/>
  <c r="O46" i="9"/>
  <c r="P46" i="9"/>
  <c r="Q46" i="9"/>
  <c r="K47" i="9"/>
  <c r="L47" i="9"/>
  <c r="M47" i="9"/>
  <c r="N47" i="9"/>
  <c r="O47" i="9"/>
  <c r="P47" i="9"/>
  <c r="Q47" i="9"/>
  <c r="K48" i="9"/>
  <c r="L48" i="9"/>
  <c r="M48" i="9"/>
  <c r="N48" i="9"/>
  <c r="O48" i="9"/>
  <c r="P48" i="9"/>
  <c r="Q48" i="9"/>
  <c r="K49" i="9"/>
  <c r="L49" i="9"/>
  <c r="M49" i="9"/>
  <c r="N49" i="9"/>
  <c r="O49" i="9"/>
  <c r="P49" i="9"/>
  <c r="Q49" i="9"/>
  <c r="K50" i="9"/>
  <c r="L50" i="9"/>
  <c r="M50" i="9"/>
  <c r="N50" i="9"/>
  <c r="O50" i="9"/>
  <c r="P50" i="9"/>
  <c r="Q50" i="9"/>
  <c r="K51" i="9"/>
  <c r="L51" i="9"/>
  <c r="M51" i="9"/>
  <c r="N51" i="9"/>
  <c r="O51" i="9"/>
  <c r="P51" i="9"/>
  <c r="Q51" i="9"/>
  <c r="K52" i="9"/>
  <c r="L52" i="9"/>
  <c r="M52" i="9"/>
  <c r="N52" i="9"/>
  <c r="O52" i="9"/>
  <c r="P52" i="9"/>
  <c r="Q52" i="9"/>
  <c r="K53" i="9"/>
  <c r="L53" i="9"/>
  <c r="M53" i="9"/>
  <c r="N53" i="9"/>
  <c r="O53" i="9"/>
  <c r="P53" i="9"/>
  <c r="Q53" i="9"/>
  <c r="K54" i="9"/>
  <c r="L54" i="9"/>
  <c r="M54" i="9"/>
  <c r="N54" i="9"/>
  <c r="O54" i="9"/>
  <c r="P54" i="9"/>
  <c r="Q54" i="9"/>
  <c r="K55" i="9"/>
  <c r="L55" i="9"/>
  <c r="M55" i="9"/>
  <c r="N55" i="9"/>
  <c r="O55" i="9"/>
  <c r="P55" i="9"/>
  <c r="Q55" i="9"/>
  <c r="K56" i="9"/>
  <c r="L56" i="9"/>
  <c r="M56" i="9"/>
  <c r="N56" i="9"/>
  <c r="O56" i="9"/>
  <c r="P56" i="9"/>
  <c r="Q56" i="9"/>
  <c r="K57" i="9"/>
  <c r="L57" i="9"/>
  <c r="M57" i="9"/>
  <c r="N57" i="9"/>
  <c r="O57" i="9"/>
  <c r="P57" i="9"/>
  <c r="Q57" i="9"/>
  <c r="K58" i="9"/>
  <c r="L58" i="9"/>
  <c r="M58" i="9"/>
  <c r="N58" i="9"/>
  <c r="O58" i="9"/>
  <c r="P58" i="9"/>
  <c r="Q58" i="9"/>
  <c r="K59" i="9"/>
  <c r="L59" i="9"/>
  <c r="M59" i="9"/>
  <c r="N59" i="9"/>
  <c r="O59" i="9"/>
  <c r="P59" i="9"/>
  <c r="Q59" i="9"/>
  <c r="K60" i="9"/>
  <c r="L60" i="9"/>
  <c r="M60" i="9"/>
  <c r="N60" i="9"/>
  <c r="O60" i="9"/>
  <c r="P60" i="9"/>
  <c r="Q60" i="9"/>
  <c r="K61" i="9"/>
  <c r="L61" i="9"/>
  <c r="M61" i="9"/>
  <c r="N61" i="9"/>
  <c r="O61" i="9"/>
  <c r="P61" i="9"/>
  <c r="Q61" i="9"/>
  <c r="K62" i="9"/>
  <c r="L62" i="9"/>
  <c r="M62" i="9"/>
  <c r="N62" i="9"/>
  <c r="O62" i="9"/>
  <c r="P62" i="9"/>
  <c r="Q62" i="9"/>
  <c r="K63" i="9"/>
  <c r="L63" i="9"/>
  <c r="M63" i="9"/>
  <c r="N63" i="9"/>
  <c r="O63" i="9"/>
  <c r="P63" i="9"/>
  <c r="Q63" i="9"/>
  <c r="K64" i="9"/>
  <c r="L64" i="9"/>
  <c r="M64" i="9"/>
  <c r="N64" i="9"/>
  <c r="O64" i="9"/>
  <c r="P64" i="9"/>
  <c r="Q64" i="9"/>
  <c r="K65" i="9"/>
  <c r="L65" i="9"/>
  <c r="M65" i="9"/>
  <c r="N65" i="9"/>
  <c r="O65" i="9"/>
  <c r="P65" i="9"/>
  <c r="Q65" i="9"/>
  <c r="K66" i="9"/>
  <c r="L66" i="9"/>
  <c r="M66" i="9"/>
  <c r="N66" i="9"/>
  <c r="O66" i="9"/>
  <c r="P66" i="9"/>
  <c r="Q66" i="9"/>
  <c r="K67" i="9"/>
  <c r="L67" i="9"/>
  <c r="M67" i="9"/>
  <c r="N67" i="9"/>
  <c r="O67" i="9"/>
  <c r="P67" i="9"/>
  <c r="Q67" i="9"/>
  <c r="K68" i="9"/>
  <c r="L68" i="9"/>
  <c r="M68" i="9"/>
  <c r="N68" i="9"/>
  <c r="O68" i="9"/>
  <c r="P68" i="9"/>
  <c r="Q68" i="9"/>
  <c r="K69" i="9"/>
  <c r="L69" i="9"/>
  <c r="M69" i="9"/>
  <c r="N69" i="9"/>
  <c r="O69" i="9"/>
  <c r="P69" i="9"/>
  <c r="Q69" i="9"/>
  <c r="K70" i="9"/>
  <c r="L70" i="9"/>
  <c r="M70" i="9"/>
  <c r="N70" i="9"/>
  <c r="O70" i="9"/>
  <c r="P70" i="9"/>
  <c r="Q70" i="9"/>
  <c r="K71" i="9"/>
  <c r="L71" i="9"/>
  <c r="M71" i="9"/>
  <c r="N71" i="9"/>
  <c r="O71" i="9"/>
  <c r="P71" i="9"/>
  <c r="Q71" i="9"/>
  <c r="K72" i="9"/>
  <c r="L72" i="9"/>
  <c r="M72" i="9"/>
  <c r="N72" i="9"/>
  <c r="O72" i="9"/>
  <c r="P72" i="9"/>
  <c r="Q72" i="9"/>
  <c r="K73" i="9"/>
  <c r="L73" i="9"/>
  <c r="M73" i="9"/>
  <c r="N73" i="9"/>
  <c r="O73" i="9"/>
  <c r="P73" i="9"/>
  <c r="Q73" i="9"/>
  <c r="K74" i="9"/>
  <c r="L74" i="9"/>
  <c r="M74" i="9"/>
  <c r="N74" i="9"/>
  <c r="O74" i="9"/>
  <c r="P74" i="9"/>
  <c r="Q74" i="9"/>
  <c r="K75" i="9"/>
  <c r="L75" i="9"/>
  <c r="M75" i="9"/>
  <c r="N75" i="9"/>
  <c r="O75" i="9"/>
  <c r="P75" i="9"/>
  <c r="Q75" i="9"/>
  <c r="K76" i="9"/>
  <c r="L76" i="9"/>
  <c r="M76" i="9"/>
  <c r="N76" i="9"/>
  <c r="O76" i="9"/>
  <c r="P76" i="9"/>
  <c r="Q76" i="9"/>
  <c r="K77" i="9"/>
  <c r="L77" i="9"/>
  <c r="M77" i="9"/>
  <c r="N77" i="9"/>
  <c r="O77" i="9"/>
  <c r="P77" i="9"/>
  <c r="Q77" i="9"/>
  <c r="K78" i="9"/>
  <c r="L78" i="9"/>
  <c r="M78" i="9"/>
  <c r="N78" i="9"/>
  <c r="O78" i="9"/>
  <c r="P78" i="9"/>
  <c r="Q78" i="9"/>
  <c r="K79" i="9"/>
  <c r="L79" i="9"/>
  <c r="M79" i="9"/>
  <c r="N79" i="9"/>
  <c r="O79" i="9"/>
  <c r="P79" i="9"/>
  <c r="Q79" i="9"/>
  <c r="K80" i="9"/>
  <c r="L80" i="9"/>
  <c r="M80" i="9"/>
  <c r="N80" i="9"/>
  <c r="O80" i="9"/>
  <c r="P80" i="9"/>
  <c r="Q80" i="9"/>
  <c r="K81" i="9"/>
  <c r="L81" i="9"/>
  <c r="M81" i="9"/>
  <c r="N81" i="9"/>
  <c r="O81" i="9"/>
  <c r="P81" i="9"/>
  <c r="Q81" i="9"/>
  <c r="K82" i="9"/>
  <c r="L82" i="9"/>
  <c r="M82" i="9"/>
  <c r="N82" i="9"/>
  <c r="O82" i="9"/>
  <c r="P82" i="9"/>
  <c r="Q82" i="9"/>
  <c r="K83" i="9"/>
  <c r="L83" i="9"/>
  <c r="M83" i="9"/>
  <c r="N83" i="9"/>
  <c r="O83" i="9"/>
  <c r="P83" i="9"/>
  <c r="Q83" i="9"/>
  <c r="K84" i="9"/>
  <c r="L84" i="9"/>
  <c r="M84" i="9"/>
  <c r="N84" i="9"/>
  <c r="O84" i="9"/>
  <c r="P84" i="9"/>
  <c r="Q84" i="9"/>
  <c r="K85" i="9"/>
  <c r="L85" i="9"/>
  <c r="M85" i="9"/>
  <c r="N85" i="9"/>
  <c r="O85" i="9"/>
  <c r="P85" i="9"/>
  <c r="Q85" i="9"/>
  <c r="K86" i="9"/>
  <c r="L86" i="9"/>
  <c r="M86" i="9"/>
  <c r="N86" i="9"/>
  <c r="O86" i="9"/>
  <c r="P86" i="9"/>
  <c r="Q86" i="9"/>
  <c r="K87" i="9"/>
  <c r="L87" i="9"/>
  <c r="M87" i="9"/>
  <c r="N87" i="9"/>
  <c r="O87" i="9"/>
  <c r="P87" i="9"/>
  <c r="Q87" i="9"/>
  <c r="K88" i="9"/>
  <c r="L88" i="9"/>
  <c r="M88" i="9"/>
  <c r="N88" i="9"/>
  <c r="O88" i="9"/>
  <c r="P88" i="9"/>
  <c r="Q88" i="9"/>
  <c r="K89" i="9"/>
  <c r="L89" i="9"/>
  <c r="M89" i="9"/>
  <c r="N89" i="9"/>
  <c r="O89" i="9"/>
  <c r="P89" i="9"/>
  <c r="Q89" i="9"/>
  <c r="K90" i="9"/>
  <c r="L90" i="9"/>
  <c r="M90" i="9"/>
  <c r="N90" i="9"/>
  <c r="O90" i="9"/>
  <c r="P90" i="9"/>
  <c r="Q90" i="9"/>
  <c r="K92" i="9"/>
  <c r="L92" i="9"/>
  <c r="M92" i="9"/>
  <c r="N92" i="9"/>
  <c r="O92" i="9"/>
  <c r="P92" i="9"/>
  <c r="Q92" i="9"/>
  <c r="K93" i="9"/>
  <c r="L93" i="9"/>
  <c r="M93" i="9"/>
  <c r="N93" i="9"/>
  <c r="O93" i="9"/>
  <c r="P93" i="9"/>
  <c r="Q93" i="9"/>
  <c r="K94" i="9"/>
  <c r="L94" i="9"/>
  <c r="M94" i="9"/>
  <c r="N94" i="9"/>
  <c r="O94" i="9"/>
  <c r="P94" i="9"/>
  <c r="Q94" i="9"/>
  <c r="K95" i="9"/>
  <c r="L95" i="9"/>
  <c r="M95" i="9"/>
  <c r="N95" i="9"/>
  <c r="O95" i="9"/>
  <c r="P95" i="9"/>
  <c r="Q95" i="9"/>
  <c r="K96" i="9"/>
  <c r="L96" i="9"/>
  <c r="M96" i="9"/>
  <c r="N96" i="9"/>
  <c r="O96" i="9"/>
  <c r="P96" i="9"/>
  <c r="Q96" i="9"/>
  <c r="K97" i="9"/>
  <c r="L97" i="9"/>
  <c r="M97" i="9"/>
  <c r="N97" i="9"/>
  <c r="O97" i="9"/>
  <c r="P97" i="9"/>
  <c r="Q97" i="9"/>
  <c r="K98" i="9"/>
  <c r="L98" i="9"/>
  <c r="M98" i="9"/>
  <c r="N98" i="9"/>
  <c r="O98" i="9"/>
  <c r="P98" i="9"/>
  <c r="Q98" i="9"/>
  <c r="K99" i="9"/>
  <c r="L99" i="9"/>
  <c r="M99" i="9"/>
  <c r="N99" i="9"/>
  <c r="O99" i="9"/>
  <c r="P99" i="9"/>
  <c r="Q99" i="9"/>
  <c r="K100" i="9"/>
  <c r="L100" i="9"/>
  <c r="M100" i="9"/>
  <c r="N100" i="9"/>
  <c r="O100" i="9"/>
  <c r="P100" i="9"/>
  <c r="Q100" i="9"/>
  <c r="K101" i="9"/>
  <c r="L101" i="9"/>
  <c r="M101" i="9"/>
  <c r="N101" i="9"/>
  <c r="O101" i="9"/>
  <c r="P101" i="9"/>
  <c r="Q101" i="9"/>
  <c r="K102" i="9"/>
  <c r="L102" i="9"/>
  <c r="M102" i="9"/>
  <c r="N102" i="9"/>
  <c r="O102" i="9"/>
  <c r="P102" i="9"/>
  <c r="Q102" i="9"/>
  <c r="K103" i="9"/>
  <c r="L103" i="9"/>
  <c r="M103" i="9"/>
  <c r="N103" i="9"/>
  <c r="O103" i="9"/>
  <c r="P103" i="9"/>
  <c r="Q103" i="9"/>
  <c r="K104" i="9"/>
  <c r="L104" i="9"/>
  <c r="M104" i="9"/>
  <c r="N104" i="9"/>
  <c r="O104" i="9"/>
  <c r="P104" i="9"/>
  <c r="Q104" i="9"/>
  <c r="K105" i="9"/>
  <c r="L105" i="9"/>
  <c r="M105" i="9"/>
  <c r="N105" i="9"/>
  <c r="O105" i="9"/>
  <c r="P105" i="9"/>
  <c r="Q105" i="9"/>
  <c r="K106" i="9"/>
  <c r="L106" i="9"/>
  <c r="M106" i="9"/>
  <c r="N106" i="9"/>
  <c r="O106" i="9"/>
  <c r="P106" i="9"/>
  <c r="Q106" i="9"/>
  <c r="K107" i="9"/>
  <c r="L107" i="9"/>
  <c r="M107" i="9"/>
  <c r="N107" i="9"/>
  <c r="O107" i="9"/>
  <c r="P107" i="9"/>
  <c r="Q107" i="9"/>
  <c r="K108" i="9"/>
  <c r="L108" i="9"/>
  <c r="M108" i="9"/>
  <c r="N108" i="9"/>
  <c r="O108" i="9"/>
  <c r="P108" i="9"/>
  <c r="Q108" i="9"/>
  <c r="K109" i="9"/>
  <c r="L109" i="9"/>
  <c r="M109" i="9"/>
  <c r="N109" i="9"/>
  <c r="O109" i="9"/>
  <c r="P109" i="9"/>
  <c r="Q109" i="9"/>
  <c r="K110" i="9"/>
  <c r="L110" i="9"/>
  <c r="M110" i="9"/>
  <c r="N110" i="9"/>
  <c r="O110" i="9"/>
  <c r="P110" i="9"/>
  <c r="Q110" i="9"/>
  <c r="K111" i="9"/>
  <c r="L111" i="9"/>
  <c r="M111" i="9"/>
  <c r="N111" i="9"/>
  <c r="O111" i="9"/>
  <c r="P111" i="9"/>
  <c r="Q111" i="9"/>
  <c r="K112" i="9"/>
  <c r="L112" i="9"/>
  <c r="M112" i="9"/>
  <c r="N112" i="9"/>
  <c r="O112" i="9"/>
  <c r="P112" i="9"/>
  <c r="Q112" i="9"/>
  <c r="K113" i="9"/>
  <c r="L113" i="9"/>
  <c r="M113" i="9"/>
  <c r="N113" i="9"/>
  <c r="O113" i="9"/>
  <c r="P113" i="9"/>
  <c r="Q113" i="9"/>
  <c r="K114" i="9"/>
  <c r="L114" i="9"/>
  <c r="M114" i="9"/>
  <c r="N114" i="9"/>
  <c r="O114" i="9"/>
  <c r="P114" i="9"/>
  <c r="Q114" i="9"/>
  <c r="K115" i="9"/>
  <c r="L115" i="9"/>
  <c r="M115" i="9"/>
  <c r="N115" i="9"/>
  <c r="O115" i="9"/>
  <c r="P115" i="9"/>
  <c r="Q115" i="9"/>
  <c r="K116" i="9"/>
  <c r="L116" i="9"/>
  <c r="M116" i="9"/>
  <c r="N116" i="9"/>
  <c r="O116" i="9"/>
  <c r="P116" i="9"/>
  <c r="Q116" i="9"/>
  <c r="K117" i="9"/>
  <c r="L117" i="9"/>
  <c r="M117" i="9"/>
  <c r="N117" i="9"/>
  <c r="O117" i="9"/>
  <c r="P117" i="9"/>
  <c r="Q117" i="9"/>
  <c r="K118" i="9"/>
  <c r="L118" i="9"/>
  <c r="M118" i="9"/>
  <c r="N118" i="9"/>
  <c r="O118" i="9"/>
  <c r="P118" i="9"/>
  <c r="Q118" i="9"/>
  <c r="K119" i="9"/>
  <c r="L119" i="9"/>
  <c r="M119" i="9"/>
  <c r="N119" i="9"/>
  <c r="O119" i="9"/>
  <c r="P119" i="9"/>
  <c r="Q119" i="9"/>
  <c r="K120" i="9"/>
  <c r="L120" i="9"/>
  <c r="M120" i="9"/>
  <c r="N120" i="9"/>
  <c r="O120" i="9"/>
  <c r="P120" i="9"/>
  <c r="Q120" i="9"/>
  <c r="K121" i="9"/>
  <c r="L121" i="9"/>
  <c r="M121" i="9"/>
  <c r="N121" i="9"/>
  <c r="O121" i="9"/>
  <c r="P121" i="9"/>
  <c r="Q121" i="9"/>
  <c r="K122" i="9"/>
  <c r="L122" i="9"/>
  <c r="M122" i="9"/>
  <c r="N122" i="9"/>
  <c r="O122" i="9"/>
  <c r="P122" i="9"/>
  <c r="Q122" i="9"/>
  <c r="K123" i="9"/>
  <c r="L123" i="9"/>
  <c r="M123" i="9"/>
  <c r="N123" i="9"/>
  <c r="O123" i="9"/>
  <c r="P123" i="9"/>
  <c r="Q123" i="9"/>
  <c r="K124" i="9"/>
  <c r="L124" i="9"/>
  <c r="M124" i="9"/>
  <c r="N124" i="9"/>
  <c r="O124" i="9"/>
  <c r="P124" i="9"/>
  <c r="Q124" i="9"/>
  <c r="K125" i="9"/>
  <c r="L125" i="9"/>
  <c r="M125" i="9"/>
  <c r="N125" i="9"/>
  <c r="O125" i="9"/>
  <c r="P125" i="9"/>
  <c r="Q125" i="9"/>
  <c r="K126" i="9"/>
  <c r="L126" i="9"/>
  <c r="N126" i="9"/>
  <c r="O126" i="9"/>
  <c r="P126" i="9"/>
  <c r="Q126" i="9"/>
  <c r="K127" i="9"/>
  <c r="L127" i="9"/>
  <c r="N127" i="9"/>
  <c r="O127" i="9"/>
  <c r="P127" i="9"/>
  <c r="Q127" i="9"/>
  <c r="K128" i="9"/>
  <c r="L128" i="9"/>
  <c r="N128" i="9"/>
  <c r="O128" i="9"/>
  <c r="P128" i="9"/>
  <c r="Q128" i="9"/>
  <c r="K129" i="9"/>
  <c r="L129" i="9"/>
  <c r="N129" i="9"/>
  <c r="O129" i="9"/>
  <c r="P129" i="9"/>
  <c r="Q129" i="9"/>
  <c r="K130" i="9"/>
  <c r="L130" i="9"/>
  <c r="N130" i="9"/>
  <c r="O130" i="9"/>
  <c r="P130" i="9"/>
  <c r="Q130" i="9"/>
  <c r="K131" i="9"/>
  <c r="L131" i="9"/>
  <c r="N131" i="9"/>
  <c r="O131" i="9"/>
  <c r="P131" i="9"/>
  <c r="Q131" i="9"/>
  <c r="O132" i="9"/>
  <c r="P132" i="9"/>
  <c r="Q132" i="9"/>
  <c r="O133" i="9"/>
  <c r="P133" i="9"/>
  <c r="Q133" i="9"/>
  <c r="O134" i="9"/>
  <c r="P134" i="9"/>
  <c r="Q134" i="9"/>
  <c r="K135" i="9"/>
  <c r="L135" i="9"/>
  <c r="M135" i="9"/>
  <c r="N135" i="9"/>
  <c r="O135" i="9"/>
  <c r="P135" i="9"/>
  <c r="Q135" i="9"/>
  <c r="K136" i="9"/>
  <c r="L136" i="9"/>
  <c r="M136" i="9"/>
  <c r="N136" i="9"/>
  <c r="O136" i="9"/>
  <c r="P136" i="9"/>
  <c r="Q136" i="9"/>
  <c r="K137" i="9"/>
  <c r="L137" i="9"/>
  <c r="M137" i="9"/>
  <c r="N137" i="9"/>
  <c r="O137" i="9"/>
  <c r="P137" i="9"/>
  <c r="Q137" i="9"/>
  <c r="K138" i="9"/>
  <c r="L138" i="9"/>
  <c r="M138" i="9"/>
  <c r="N138" i="9"/>
  <c r="O138" i="9"/>
  <c r="P138" i="9"/>
  <c r="Q138" i="9"/>
  <c r="K139" i="9"/>
  <c r="L139" i="9"/>
  <c r="M139" i="9"/>
  <c r="N139" i="9"/>
  <c r="O139" i="9"/>
  <c r="P139" i="9"/>
  <c r="Q139" i="9"/>
  <c r="K140" i="9"/>
  <c r="L140" i="9"/>
  <c r="M140" i="9"/>
  <c r="N140" i="9"/>
  <c r="O140" i="9"/>
  <c r="P140" i="9"/>
  <c r="Q140" i="9"/>
  <c r="K141" i="9"/>
  <c r="L141" i="9"/>
  <c r="M141" i="9"/>
  <c r="N141" i="9"/>
  <c r="O141" i="9"/>
  <c r="P141" i="9"/>
  <c r="Q141" i="9"/>
  <c r="K142" i="9"/>
  <c r="L142" i="9"/>
  <c r="M142" i="9"/>
  <c r="N142" i="9"/>
  <c r="O142" i="9"/>
  <c r="P142" i="9"/>
  <c r="Q142" i="9"/>
  <c r="K143" i="9"/>
  <c r="L143" i="9"/>
  <c r="M143" i="9"/>
  <c r="N143" i="9"/>
  <c r="O143" i="9"/>
  <c r="P143" i="9"/>
  <c r="Q143" i="9"/>
  <c r="K144" i="9"/>
  <c r="L144" i="9"/>
  <c r="M144" i="9"/>
  <c r="N144" i="9"/>
  <c r="O144" i="9"/>
  <c r="P144" i="9"/>
  <c r="Q144" i="9"/>
  <c r="K145" i="9"/>
  <c r="L145" i="9"/>
  <c r="M145" i="9"/>
  <c r="N145" i="9"/>
  <c r="O145" i="9"/>
  <c r="P145" i="9"/>
  <c r="Q145" i="9"/>
  <c r="K146" i="9"/>
  <c r="L146" i="9"/>
  <c r="M146" i="9"/>
  <c r="N146" i="9"/>
  <c r="O146" i="9"/>
  <c r="P146" i="9"/>
  <c r="Q146" i="9"/>
  <c r="K147" i="9"/>
  <c r="L147" i="9"/>
  <c r="M147" i="9"/>
  <c r="N147" i="9"/>
  <c r="O147" i="9"/>
  <c r="P147" i="9"/>
  <c r="Q147" i="9"/>
  <c r="K148" i="9"/>
  <c r="L148" i="9"/>
  <c r="M148" i="9"/>
  <c r="N148" i="9"/>
  <c r="O148" i="9"/>
  <c r="P148" i="9"/>
  <c r="Q148" i="9"/>
  <c r="K149" i="9"/>
  <c r="L149" i="9"/>
  <c r="M149" i="9"/>
  <c r="N149" i="9"/>
  <c r="O149" i="9"/>
  <c r="P149" i="9"/>
  <c r="Q149" i="9"/>
  <c r="K150" i="9"/>
  <c r="L150" i="9"/>
  <c r="M150" i="9"/>
  <c r="N150" i="9"/>
  <c r="O150" i="9"/>
  <c r="P150" i="9"/>
  <c r="Q150" i="9"/>
  <c r="K151" i="9"/>
  <c r="L151" i="9"/>
  <c r="M151" i="9"/>
  <c r="N151" i="9"/>
  <c r="O151" i="9"/>
  <c r="P151" i="9"/>
  <c r="Q151" i="9"/>
  <c r="K152" i="9"/>
  <c r="L152" i="9"/>
  <c r="M152" i="9"/>
  <c r="N152" i="9"/>
  <c r="O152" i="9"/>
  <c r="P152" i="9"/>
  <c r="Q152" i="9"/>
  <c r="K153" i="9"/>
  <c r="L153" i="9"/>
  <c r="M153" i="9"/>
  <c r="N153" i="9"/>
  <c r="O153" i="9"/>
  <c r="P153" i="9"/>
  <c r="Q153" i="9"/>
  <c r="K154" i="9"/>
  <c r="L154" i="9"/>
  <c r="M154" i="9"/>
  <c r="N154" i="9"/>
  <c r="O154" i="9"/>
  <c r="P154" i="9"/>
  <c r="Q154" i="9"/>
  <c r="K155" i="9"/>
  <c r="L155" i="9"/>
  <c r="M155" i="9"/>
  <c r="N155" i="9"/>
  <c r="O155" i="9"/>
  <c r="P155" i="9"/>
  <c r="Q155" i="9"/>
  <c r="K156" i="9"/>
  <c r="L156" i="9"/>
  <c r="M156" i="9"/>
  <c r="N156" i="9"/>
  <c r="O156" i="9"/>
  <c r="P156" i="9"/>
  <c r="Q156" i="9"/>
  <c r="K157" i="9"/>
  <c r="L157" i="9"/>
  <c r="M157" i="9"/>
  <c r="N157" i="9"/>
  <c r="O157" i="9"/>
  <c r="P157" i="9"/>
  <c r="Q157" i="9"/>
  <c r="K158" i="9"/>
  <c r="L158" i="9"/>
  <c r="M158" i="9"/>
  <c r="N158" i="9"/>
  <c r="O158" i="9"/>
  <c r="P158" i="9"/>
  <c r="Q158" i="9"/>
  <c r="K159" i="9"/>
  <c r="L159" i="9"/>
  <c r="M159" i="9"/>
  <c r="N159" i="9"/>
  <c r="O159" i="9"/>
  <c r="P159" i="9"/>
  <c r="Q159" i="9"/>
  <c r="L2" i="9"/>
  <c r="M2" i="9"/>
  <c r="N2" i="9"/>
  <c r="O2" i="9"/>
  <c r="P2" i="9"/>
  <c r="Q2" i="9"/>
  <c r="K2" i="9"/>
  <c r="K94" i="6"/>
  <c r="S94" i="6" s="1"/>
  <c r="U94" i="6" s="1"/>
  <c r="K93" i="6"/>
  <c r="S93" i="6" s="1"/>
  <c r="K27" i="6"/>
  <c r="K14" i="6"/>
  <c r="S14" i="6" s="1"/>
  <c r="T85" i="6"/>
  <c r="N85" i="6" s="1"/>
  <c r="U85" i="6"/>
  <c r="S159" i="6"/>
  <c r="U159" i="6" s="1"/>
  <c r="J157" i="6"/>
  <c r="I157" i="6"/>
  <c r="H157" i="6"/>
  <c r="G157" i="6"/>
  <c r="F157" i="6"/>
  <c r="E157" i="6"/>
  <c r="S151" i="6"/>
  <c r="U151" i="6" s="1"/>
  <c r="S150" i="6"/>
  <c r="T150" i="6" s="1"/>
  <c r="S149" i="6"/>
  <c r="U149" i="6" s="1"/>
  <c r="E152" i="6"/>
  <c r="E153" i="6"/>
  <c r="E154" i="6"/>
  <c r="L154" i="6" s="1"/>
  <c r="E155" i="6"/>
  <c r="L155" i="6" s="1"/>
  <c r="E156" i="6"/>
  <c r="L156" i="6" s="1"/>
  <c r="S147" i="6"/>
  <c r="U147" i="6" s="1"/>
  <c r="R143" i="6"/>
  <c r="Q143" i="6"/>
  <c r="P143" i="6"/>
  <c r="O143" i="6"/>
  <c r="N143" i="6"/>
  <c r="M143" i="6"/>
  <c r="L143" i="6"/>
  <c r="L142" i="6"/>
  <c r="M142" i="6"/>
  <c r="N142" i="6"/>
  <c r="O142" i="6"/>
  <c r="P142" i="6"/>
  <c r="Q142" i="6"/>
  <c r="R142" i="6"/>
  <c r="M141" i="6"/>
  <c r="N141" i="6"/>
  <c r="O141" i="6"/>
  <c r="P141" i="6"/>
  <c r="Q141" i="6"/>
  <c r="R141" i="6"/>
  <c r="L141" i="6"/>
  <c r="S140" i="6"/>
  <c r="U140" i="6" s="1"/>
  <c r="S139" i="6"/>
  <c r="T139" i="6" s="1"/>
  <c r="S138" i="6"/>
  <c r="T138" i="6" s="1"/>
  <c r="S137" i="6"/>
  <c r="T137" i="6" s="1"/>
  <c r="K136" i="6"/>
  <c r="S136" i="6" s="1"/>
  <c r="U136" i="6" s="1"/>
  <c r="K135" i="6"/>
  <c r="S135" i="6" s="1"/>
  <c r="T135" i="6" s="1"/>
  <c r="K134" i="6"/>
  <c r="S134" i="6" s="1"/>
  <c r="U134" i="6" s="1"/>
  <c r="K133" i="6"/>
  <c r="K132" i="6"/>
  <c r="S132" i="6" s="1"/>
  <c r="U132" i="6" s="1"/>
  <c r="K131" i="6"/>
  <c r="S131" i="6" s="1"/>
  <c r="K130" i="6"/>
  <c r="K129" i="6"/>
  <c r="S129" i="6" s="1"/>
  <c r="K128" i="6"/>
  <c r="S128" i="6" s="1"/>
  <c r="U128" i="6" s="1"/>
  <c r="S124" i="6"/>
  <c r="T124" i="6" s="1"/>
  <c r="R124" i="6" s="1"/>
  <c r="S123" i="6"/>
  <c r="T123" i="6" s="1"/>
  <c r="S122" i="6"/>
  <c r="T122" i="6" s="1"/>
  <c r="S118" i="6"/>
  <c r="U118" i="6" s="1"/>
  <c r="E125" i="6"/>
  <c r="L125" i="6" s="1"/>
  <c r="E126" i="6"/>
  <c r="L126" i="6" s="1"/>
  <c r="E127" i="6"/>
  <c r="L127" i="6" s="1"/>
  <c r="Q112" i="6"/>
  <c r="R112" i="6"/>
  <c r="S112" i="6"/>
  <c r="S111" i="6"/>
  <c r="S110" i="6"/>
  <c r="U110" i="6" s="1"/>
  <c r="K96" i="6"/>
  <c r="J96" i="6"/>
  <c r="I96" i="6"/>
  <c r="H96" i="6"/>
  <c r="G96" i="6"/>
  <c r="F96" i="6"/>
  <c r="S109" i="6"/>
  <c r="R109" i="6"/>
  <c r="Q109" i="6"/>
  <c r="P109" i="6"/>
  <c r="O109" i="6"/>
  <c r="N109" i="6"/>
  <c r="M109" i="6"/>
  <c r="L109" i="6"/>
  <c r="R108" i="6"/>
  <c r="S108" i="6"/>
  <c r="P108" i="6"/>
  <c r="O108" i="6"/>
  <c r="N108" i="6"/>
  <c r="M108" i="6"/>
  <c r="L108" i="6"/>
  <c r="K107" i="6"/>
  <c r="S107" i="6" s="1"/>
  <c r="T107" i="6" s="1"/>
  <c r="K106" i="6"/>
  <c r="K67" i="6"/>
  <c r="J106" i="6"/>
  <c r="J67" i="6"/>
  <c r="I106" i="6"/>
  <c r="I67" i="6"/>
  <c r="H106" i="6"/>
  <c r="H67" i="6"/>
  <c r="G106" i="6"/>
  <c r="G67" i="6"/>
  <c r="F106" i="6"/>
  <c r="F67" i="6"/>
  <c r="E106" i="6"/>
  <c r="E67" i="6"/>
  <c r="T102" i="6"/>
  <c r="P102" i="6" s="1"/>
  <c r="K103" i="6"/>
  <c r="S103" i="6" s="1"/>
  <c r="K102" i="6"/>
  <c r="S102" i="6" s="1"/>
  <c r="E104" i="6"/>
  <c r="L104" i="6" s="1"/>
  <c r="E105" i="6"/>
  <c r="L105" i="6" s="1"/>
  <c r="U86" i="6"/>
  <c r="T86" i="6"/>
  <c r="T151" i="6"/>
  <c r="L112" i="6"/>
  <c r="M112" i="6"/>
  <c r="N112" i="6"/>
  <c r="O112" i="6"/>
  <c r="P112" i="6"/>
  <c r="Q108" i="6"/>
  <c r="L103" i="6"/>
  <c r="M103" i="6"/>
  <c r="N103" i="6"/>
  <c r="O103" i="6"/>
  <c r="P103" i="6"/>
  <c r="Q103" i="6"/>
  <c r="R103" i="6"/>
  <c r="R111" i="6"/>
  <c r="Q111" i="6"/>
  <c r="P111" i="6"/>
  <c r="O111" i="6"/>
  <c r="N111" i="6"/>
  <c r="M111" i="6"/>
  <c r="L111" i="6"/>
  <c r="L91" i="6"/>
  <c r="M101" i="6"/>
  <c r="N101" i="6"/>
  <c r="O101" i="6"/>
  <c r="P101" i="6"/>
  <c r="Q101" i="6"/>
  <c r="R101" i="6"/>
  <c r="L101" i="6"/>
  <c r="S100" i="6"/>
  <c r="T100" i="6" s="1"/>
  <c r="S99" i="6"/>
  <c r="U99" i="6" s="1"/>
  <c r="S98" i="6"/>
  <c r="T98" i="6" s="1"/>
  <c r="K95" i="6"/>
  <c r="J95" i="6"/>
  <c r="I95" i="6"/>
  <c r="H95" i="6"/>
  <c r="G95" i="6"/>
  <c r="F95" i="6"/>
  <c r="K70" i="6"/>
  <c r="J70" i="6"/>
  <c r="I70" i="6"/>
  <c r="H70" i="6"/>
  <c r="G70" i="6"/>
  <c r="F70" i="6"/>
  <c r="E70" i="6"/>
  <c r="E69" i="6"/>
  <c r="S88" i="6"/>
  <c r="T88" i="6" s="1"/>
  <c r="K87" i="6"/>
  <c r="F87" i="6"/>
  <c r="E87" i="6"/>
  <c r="S87" i="6" s="1"/>
  <c r="S75" i="6"/>
  <c r="T75" i="6" s="1"/>
  <c r="S74" i="6"/>
  <c r="T74" i="6" s="1"/>
  <c r="S73" i="6"/>
  <c r="T73" i="6" s="1"/>
  <c r="E76" i="6"/>
  <c r="L76" i="6" s="1"/>
  <c r="E77" i="6"/>
  <c r="L77" i="6" s="1"/>
  <c r="E78" i="6"/>
  <c r="L78" i="6" s="1"/>
  <c r="E79" i="6"/>
  <c r="L79" i="6" s="1"/>
  <c r="E80" i="6"/>
  <c r="L80" i="6"/>
  <c r="E81" i="6"/>
  <c r="L81" i="6" s="1"/>
  <c r="E82" i="6"/>
  <c r="L82" i="6" s="1"/>
  <c r="E83" i="6"/>
  <c r="L83" i="6" s="1"/>
  <c r="E84" i="6"/>
  <c r="L84" i="6" s="1"/>
  <c r="S72" i="6"/>
  <c r="U72" i="6" s="1"/>
  <c r="K71" i="6"/>
  <c r="S71" i="6" s="1"/>
  <c r="U71" i="6" s="1"/>
  <c r="K69" i="6"/>
  <c r="J69" i="6"/>
  <c r="I69" i="6"/>
  <c r="H69" i="6"/>
  <c r="G69" i="6"/>
  <c r="F69" i="6"/>
  <c r="I49" i="6"/>
  <c r="H49" i="6"/>
  <c r="E49" i="6"/>
  <c r="F49" i="6"/>
  <c r="G49" i="6"/>
  <c r="J49" i="6"/>
  <c r="K49" i="6"/>
  <c r="R145" i="6"/>
  <c r="R144" i="6"/>
  <c r="R66" i="6"/>
  <c r="R65" i="6"/>
  <c r="R64" i="6"/>
  <c r="R63" i="6"/>
  <c r="I145" i="6"/>
  <c r="J145" i="6" s="1"/>
  <c r="Q145" i="6" s="1"/>
  <c r="E145" i="6"/>
  <c r="L145" i="6" s="1"/>
  <c r="I144" i="6"/>
  <c r="P144" i="6" s="1"/>
  <c r="I89" i="6"/>
  <c r="J89" i="6"/>
  <c r="Q89" i="6" s="1"/>
  <c r="E89" i="6"/>
  <c r="F89" i="6" s="1"/>
  <c r="G89" i="6" s="1"/>
  <c r="E66" i="6"/>
  <c r="L66" i="6" s="1"/>
  <c r="I66" i="6"/>
  <c r="P66" i="6" s="1"/>
  <c r="E65" i="6"/>
  <c r="L65" i="6" s="1"/>
  <c r="I65" i="6"/>
  <c r="P65" i="6" s="1"/>
  <c r="I64" i="6"/>
  <c r="J64" i="6" s="1"/>
  <c r="Q64" i="6" s="1"/>
  <c r="P64" i="6"/>
  <c r="I63" i="6"/>
  <c r="P63" i="6" s="1"/>
  <c r="E64" i="6"/>
  <c r="L64" i="6" s="1"/>
  <c r="E63" i="6"/>
  <c r="I62" i="6"/>
  <c r="P62" i="6" s="1"/>
  <c r="E62" i="6"/>
  <c r="E61" i="6"/>
  <c r="L61" i="6" s="1"/>
  <c r="I61" i="6"/>
  <c r="P61" i="6" s="1"/>
  <c r="I60" i="6"/>
  <c r="P60" i="6" s="1"/>
  <c r="E60" i="6"/>
  <c r="L60" i="6" s="1"/>
  <c r="I59" i="6"/>
  <c r="J59" i="6" s="1"/>
  <c r="Q59" i="6" s="1"/>
  <c r="P59" i="6"/>
  <c r="E59" i="6"/>
  <c r="F59" i="6" s="1"/>
  <c r="E144" i="6"/>
  <c r="L144" i="6" s="1"/>
  <c r="R62" i="6"/>
  <c r="R61" i="6"/>
  <c r="R60" i="6"/>
  <c r="R59" i="6"/>
  <c r="S57" i="6"/>
  <c r="U57" i="6" s="1"/>
  <c r="S56" i="6"/>
  <c r="U56" i="6" s="1"/>
  <c r="K54" i="6"/>
  <c r="S54" i="6" s="1"/>
  <c r="K48" i="6"/>
  <c r="K90" i="6" s="1"/>
  <c r="K44" i="6"/>
  <c r="S44" i="6"/>
  <c r="T44" i="6" s="1"/>
  <c r="S43" i="6"/>
  <c r="T43" i="6" s="1"/>
  <c r="S42" i="6"/>
  <c r="U42" i="6" s="1"/>
  <c r="S41" i="6"/>
  <c r="T41" i="6" s="1"/>
  <c r="S40" i="6"/>
  <c r="U40" i="6" s="1"/>
  <c r="S39" i="6"/>
  <c r="U39" i="6" s="1"/>
  <c r="S38" i="6"/>
  <c r="T38" i="6" s="1"/>
  <c r="S37" i="6"/>
  <c r="S36" i="6"/>
  <c r="T36" i="6" s="1"/>
  <c r="S35" i="6"/>
  <c r="U35" i="6" s="1"/>
  <c r="T35" i="6"/>
  <c r="S34" i="6"/>
  <c r="S33" i="6"/>
  <c r="S32" i="6"/>
  <c r="T32" i="6" s="1"/>
  <c r="S31" i="6"/>
  <c r="T31" i="6" s="1"/>
  <c r="M154" i="6"/>
  <c r="N154" i="6"/>
  <c r="O154" i="6"/>
  <c r="Q154" i="6"/>
  <c r="R154" i="6"/>
  <c r="M155" i="6"/>
  <c r="N155" i="6"/>
  <c r="O155" i="6"/>
  <c r="Q155" i="6"/>
  <c r="R155" i="6"/>
  <c r="M156" i="6"/>
  <c r="N156" i="6"/>
  <c r="O156" i="6"/>
  <c r="Q156" i="6"/>
  <c r="R156" i="6"/>
  <c r="I154" i="6"/>
  <c r="P154" i="6" s="1"/>
  <c r="I155" i="6"/>
  <c r="P155" i="6" s="1"/>
  <c r="I156" i="6"/>
  <c r="P156" i="6" s="1"/>
  <c r="M153" i="6"/>
  <c r="N153" i="6"/>
  <c r="O153" i="6"/>
  <c r="Q153" i="6"/>
  <c r="R153" i="6"/>
  <c r="I153" i="6"/>
  <c r="P153" i="6" s="1"/>
  <c r="L153" i="6"/>
  <c r="M152" i="6"/>
  <c r="N152" i="6"/>
  <c r="O152" i="6"/>
  <c r="Q152" i="6"/>
  <c r="R152" i="6"/>
  <c r="I152" i="6"/>
  <c r="P152" i="6" s="1"/>
  <c r="L152" i="6"/>
  <c r="M127" i="6"/>
  <c r="N127" i="6"/>
  <c r="O127" i="6"/>
  <c r="Q127" i="6"/>
  <c r="R127" i="6"/>
  <c r="I127" i="6"/>
  <c r="P127" i="6" s="1"/>
  <c r="M126" i="6"/>
  <c r="N126" i="6"/>
  <c r="O126" i="6"/>
  <c r="Q126" i="6"/>
  <c r="R126" i="6"/>
  <c r="I126" i="6"/>
  <c r="P126" i="6"/>
  <c r="M125" i="6"/>
  <c r="N125" i="6"/>
  <c r="O125" i="6"/>
  <c r="Q125" i="6"/>
  <c r="R125" i="6"/>
  <c r="I125" i="6"/>
  <c r="P125" i="6" s="1"/>
  <c r="M105" i="6"/>
  <c r="N105" i="6"/>
  <c r="O105" i="6"/>
  <c r="Q105" i="6"/>
  <c r="R105" i="6"/>
  <c r="I105" i="6"/>
  <c r="P105" i="6" s="1"/>
  <c r="R104" i="6"/>
  <c r="M104" i="6"/>
  <c r="N104" i="6"/>
  <c r="O104" i="6"/>
  <c r="Q104" i="6"/>
  <c r="I104" i="6"/>
  <c r="P104" i="6" s="1"/>
  <c r="M77" i="6"/>
  <c r="N77" i="6"/>
  <c r="O77" i="6"/>
  <c r="Q77" i="6"/>
  <c r="R77" i="6"/>
  <c r="M78" i="6"/>
  <c r="N78" i="6"/>
  <c r="O78" i="6"/>
  <c r="Q78" i="6"/>
  <c r="R78" i="6"/>
  <c r="M79" i="6"/>
  <c r="N79" i="6"/>
  <c r="O79" i="6"/>
  <c r="Q79" i="6"/>
  <c r="R79" i="6"/>
  <c r="M80" i="6"/>
  <c r="N80" i="6"/>
  <c r="O80" i="6"/>
  <c r="Q80" i="6"/>
  <c r="R80" i="6"/>
  <c r="M81" i="6"/>
  <c r="N81" i="6"/>
  <c r="O81" i="6"/>
  <c r="Q81" i="6"/>
  <c r="R81" i="6"/>
  <c r="M82" i="6"/>
  <c r="N82" i="6"/>
  <c r="O82" i="6"/>
  <c r="Q82" i="6"/>
  <c r="R82" i="6"/>
  <c r="M83" i="6"/>
  <c r="N83" i="6"/>
  <c r="O83" i="6"/>
  <c r="Q83" i="6"/>
  <c r="R83" i="6"/>
  <c r="M84" i="6"/>
  <c r="N84" i="6"/>
  <c r="O84" i="6"/>
  <c r="Q84" i="6"/>
  <c r="R84" i="6"/>
  <c r="I83" i="6"/>
  <c r="P83" i="6" s="1"/>
  <c r="I84" i="6"/>
  <c r="P84" i="6" s="1"/>
  <c r="I82" i="6"/>
  <c r="P82" i="6"/>
  <c r="I78" i="6"/>
  <c r="P78" i="6"/>
  <c r="I79" i="6"/>
  <c r="P79" i="6" s="1"/>
  <c r="I80" i="6"/>
  <c r="P80" i="6" s="1"/>
  <c r="I81" i="6"/>
  <c r="P81" i="6" s="1"/>
  <c r="I77" i="6"/>
  <c r="P77" i="6" s="1"/>
  <c r="M76" i="6"/>
  <c r="N76" i="6"/>
  <c r="O76" i="6"/>
  <c r="Q76" i="6"/>
  <c r="R76" i="6"/>
  <c r="I76" i="6"/>
  <c r="P76" i="6" s="1"/>
  <c r="M53" i="6"/>
  <c r="N53" i="6"/>
  <c r="O53" i="6"/>
  <c r="Q53" i="6"/>
  <c r="R53" i="6"/>
  <c r="I53" i="6"/>
  <c r="P53" i="6" s="1"/>
  <c r="E53" i="6"/>
  <c r="L53" i="6" s="1"/>
  <c r="M52" i="6"/>
  <c r="N52" i="6"/>
  <c r="O52" i="6"/>
  <c r="Q52" i="6"/>
  <c r="R52" i="6"/>
  <c r="I52" i="6"/>
  <c r="P52" i="6" s="1"/>
  <c r="E52" i="6"/>
  <c r="L52" i="6" s="1"/>
  <c r="M51" i="6"/>
  <c r="N51" i="6"/>
  <c r="O51" i="6"/>
  <c r="Q51" i="6"/>
  <c r="R51" i="6"/>
  <c r="I51" i="6"/>
  <c r="P51" i="6" s="1"/>
  <c r="E51" i="6"/>
  <c r="L51" i="6"/>
  <c r="M50" i="6"/>
  <c r="N50" i="6"/>
  <c r="O50" i="6"/>
  <c r="Q50" i="6"/>
  <c r="R50" i="6"/>
  <c r="I50" i="6"/>
  <c r="P50" i="6"/>
  <c r="E50" i="6"/>
  <c r="L50" i="6" s="1"/>
  <c r="M30" i="6"/>
  <c r="L30" i="6" s="1"/>
  <c r="N30" i="6"/>
  <c r="O30" i="6"/>
  <c r="P30" i="6" s="1"/>
  <c r="Q30" i="6"/>
  <c r="R30" i="6"/>
  <c r="I30" i="6"/>
  <c r="E30" i="6"/>
  <c r="M29" i="6"/>
  <c r="L29" i="6" s="1"/>
  <c r="N29" i="6"/>
  <c r="O29" i="6"/>
  <c r="P29" i="6" s="1"/>
  <c r="Q29" i="6"/>
  <c r="R29" i="6"/>
  <c r="I29" i="6"/>
  <c r="E29" i="6"/>
  <c r="I28" i="6"/>
  <c r="E28" i="6"/>
  <c r="M28" i="6"/>
  <c r="L28" i="6" s="1"/>
  <c r="N28" i="6"/>
  <c r="O28" i="6"/>
  <c r="P28" i="6" s="1"/>
  <c r="Q28" i="6"/>
  <c r="R28" i="6"/>
  <c r="I27" i="6"/>
  <c r="U74" i="6"/>
  <c r="T71" i="6"/>
  <c r="Q71" i="6" s="1"/>
  <c r="J61" i="6"/>
  <c r="Q61" i="6" s="1"/>
  <c r="F61" i="6"/>
  <c r="G61" i="6" s="1"/>
  <c r="F60" i="6"/>
  <c r="U43" i="6"/>
  <c r="U41" i="6"/>
  <c r="L41" i="6" s="1"/>
  <c r="J27" i="6"/>
  <c r="E27" i="6"/>
  <c r="F27" i="6"/>
  <c r="G27" i="6"/>
  <c r="K15" i="6"/>
  <c r="S15" i="6" s="1"/>
  <c r="U15" i="6" s="1"/>
  <c r="H27" i="6"/>
  <c r="R89" i="6"/>
  <c r="P89" i="6"/>
  <c r="S16" i="6"/>
  <c r="U16" i="6" s="1"/>
  <c r="K13" i="6"/>
  <c r="J13" i="6"/>
  <c r="I13" i="6"/>
  <c r="H13" i="6"/>
  <c r="G13" i="6"/>
  <c r="F13" i="6"/>
  <c r="E13" i="6"/>
  <c r="K12" i="6"/>
  <c r="S12" i="6" s="1"/>
  <c r="U12" i="6" s="1"/>
  <c r="J7" i="6"/>
  <c r="K7" i="6" s="1"/>
  <c r="S146" i="6"/>
  <c r="U146" i="6" s="1"/>
  <c r="I158" i="6"/>
  <c r="I120" i="6"/>
  <c r="I92" i="6"/>
  <c r="I117" i="6"/>
  <c r="I116" i="6"/>
  <c r="I114" i="6"/>
  <c r="I113" i="6"/>
  <c r="I121" i="6"/>
  <c r="I115" i="6"/>
  <c r="I119" i="6"/>
  <c r="K120" i="6"/>
  <c r="K116" i="6"/>
  <c r="K119" i="6"/>
  <c r="K92" i="6"/>
  <c r="K158" i="6"/>
  <c r="K114" i="6"/>
  <c r="K113" i="6"/>
  <c r="K115" i="6"/>
  <c r="K117" i="6"/>
  <c r="K121" i="6"/>
  <c r="G120" i="6"/>
  <c r="G92" i="6"/>
  <c r="G121" i="6"/>
  <c r="G117" i="6"/>
  <c r="G119" i="6"/>
  <c r="G158" i="6"/>
  <c r="G114" i="6"/>
  <c r="G116" i="6"/>
  <c r="G113" i="6"/>
  <c r="G115" i="6"/>
  <c r="E117" i="6"/>
  <c r="E120" i="6"/>
  <c r="E115" i="6"/>
  <c r="E121" i="6"/>
  <c r="E113" i="6"/>
  <c r="E158" i="6"/>
  <c r="E114" i="6"/>
  <c r="E116" i="6"/>
  <c r="E119" i="6"/>
  <c r="J117" i="6"/>
  <c r="J120" i="6"/>
  <c r="J158" i="6"/>
  <c r="J114" i="6"/>
  <c r="J92" i="6"/>
  <c r="J119" i="6"/>
  <c r="J115" i="6"/>
  <c r="J121" i="6"/>
  <c r="J116" i="6"/>
  <c r="J113" i="6"/>
  <c r="H121" i="6"/>
  <c r="H158" i="6"/>
  <c r="H119" i="6"/>
  <c r="H117" i="6"/>
  <c r="H113" i="6"/>
  <c r="H114" i="6"/>
  <c r="H120" i="6"/>
  <c r="H92" i="6"/>
  <c r="H116" i="6"/>
  <c r="H115" i="6"/>
  <c r="F117" i="6"/>
  <c r="F158" i="6"/>
  <c r="F116" i="6"/>
  <c r="F121" i="6"/>
  <c r="F114" i="6"/>
  <c r="F115" i="6"/>
  <c r="F120" i="6"/>
  <c r="F92" i="6"/>
  <c r="F119" i="6"/>
  <c r="F113" i="6"/>
  <c r="K68" i="6"/>
  <c r="E46" i="6"/>
  <c r="E47" i="6"/>
  <c r="E45" i="6"/>
  <c r="H46" i="6"/>
  <c r="H45" i="6"/>
  <c r="H47" i="6"/>
  <c r="K46" i="6"/>
  <c r="K45" i="6"/>
  <c r="K47" i="6"/>
  <c r="J46" i="6"/>
  <c r="J45" i="6"/>
  <c r="J47" i="6"/>
  <c r="I46" i="6"/>
  <c r="I45" i="6"/>
  <c r="I47" i="6"/>
  <c r="G46" i="6"/>
  <c r="G45" i="6"/>
  <c r="G47" i="6"/>
  <c r="F46" i="6"/>
  <c r="F45" i="6"/>
  <c r="F47" i="6"/>
  <c r="K22" i="6"/>
  <c r="K19" i="6"/>
  <c r="K24" i="6"/>
  <c r="K21" i="6"/>
  <c r="K18" i="6"/>
  <c r="K20" i="6"/>
  <c r="K25" i="6"/>
  <c r="K26" i="6"/>
  <c r="K23" i="6"/>
  <c r="K17" i="6"/>
  <c r="K9" i="6"/>
  <c r="K11" i="6"/>
  <c r="K8" i="6"/>
  <c r="K10" i="6"/>
  <c r="I19" i="6"/>
  <c r="I21" i="6"/>
  <c r="I25" i="6"/>
  <c r="I24" i="6"/>
  <c r="I18" i="6"/>
  <c r="I23" i="6"/>
  <c r="I17" i="6"/>
  <c r="I22" i="6"/>
  <c r="I26" i="6"/>
  <c r="I20" i="6"/>
  <c r="I9" i="6"/>
  <c r="I11" i="6"/>
  <c r="I8" i="6"/>
  <c r="I10" i="6"/>
  <c r="J23" i="6"/>
  <c r="J21" i="6"/>
  <c r="J24" i="6"/>
  <c r="J20" i="6"/>
  <c r="J17" i="6"/>
  <c r="J19" i="6"/>
  <c r="J25" i="6"/>
  <c r="J18" i="6"/>
  <c r="J26" i="6"/>
  <c r="J22" i="6"/>
  <c r="J9" i="6"/>
  <c r="J11" i="6"/>
  <c r="J8" i="6"/>
  <c r="J10" i="6"/>
  <c r="F25" i="6"/>
  <c r="F22" i="6"/>
  <c r="F24" i="6"/>
  <c r="F19" i="6"/>
  <c r="F18" i="6"/>
  <c r="F17" i="6"/>
  <c r="F21" i="6"/>
  <c r="F26" i="6"/>
  <c r="F23" i="6"/>
  <c r="F20" i="6"/>
  <c r="F8" i="6"/>
  <c r="F9" i="6"/>
  <c r="F11" i="6"/>
  <c r="F10" i="6"/>
  <c r="K5" i="6"/>
  <c r="G22" i="6"/>
  <c r="G19" i="6"/>
  <c r="G18" i="6"/>
  <c r="G24" i="6"/>
  <c r="G21" i="6"/>
  <c r="G23" i="6"/>
  <c r="G25" i="6"/>
  <c r="G26" i="6"/>
  <c r="G20" i="6"/>
  <c r="G17" i="6"/>
  <c r="G9" i="6"/>
  <c r="G8" i="6"/>
  <c r="G11" i="6"/>
  <c r="G10" i="6"/>
  <c r="I5" i="6"/>
  <c r="J6" i="6"/>
  <c r="H19" i="6"/>
  <c r="H18" i="6"/>
  <c r="H20" i="6"/>
  <c r="H24" i="6"/>
  <c r="H21" i="6"/>
  <c r="H17" i="6"/>
  <c r="H22" i="6"/>
  <c r="H25" i="6"/>
  <c r="H23" i="6"/>
  <c r="H26" i="6"/>
  <c r="H9" i="6"/>
  <c r="H11" i="6"/>
  <c r="H8" i="6"/>
  <c r="H10" i="6"/>
  <c r="J5" i="6"/>
  <c r="H6" i="6"/>
  <c r="I6" i="6"/>
  <c r="K6" i="6"/>
  <c r="E24" i="6"/>
  <c r="E26" i="6"/>
  <c r="E21" i="6"/>
  <c r="E20" i="6"/>
  <c r="E25" i="6"/>
  <c r="E19" i="6"/>
  <c r="E22" i="6"/>
  <c r="E17" i="6"/>
  <c r="E23" i="6"/>
  <c r="E18" i="6"/>
  <c r="E10" i="6"/>
  <c r="E9" i="6"/>
  <c r="E11" i="6"/>
  <c r="E8" i="6"/>
  <c r="H5" i="6"/>
  <c r="T146" i="6"/>
  <c r="S4" i="6"/>
  <c r="U4" i="6" s="1"/>
  <c r="S3" i="6"/>
  <c r="T3" i="6" s="1"/>
  <c r="S2" i="6"/>
  <c r="U2" i="6" s="1"/>
  <c r="Y159" i="9" l="1"/>
  <c r="X159" i="9"/>
  <c r="W159" i="9"/>
  <c r="V159" i="9"/>
  <c r="U159" i="9"/>
  <c r="T159" i="9"/>
  <c r="D7" i="8" s="1"/>
  <c r="S159" i="9"/>
  <c r="G7" i="8"/>
  <c r="F7" i="8"/>
  <c r="E7" i="8"/>
  <c r="C7" i="8"/>
  <c r="I7" i="8"/>
  <c r="H7" i="8"/>
  <c r="S110" i="9"/>
  <c r="C5" i="8" s="1"/>
  <c r="U144" i="9"/>
  <c r="E6" i="8" s="1"/>
  <c r="Y92" i="9" a="1"/>
  <c r="Y92" i="9" s="1"/>
  <c r="X32" i="9"/>
  <c r="H2" i="8" s="1"/>
  <c r="W32" i="9"/>
  <c r="G2" i="8" s="1"/>
  <c r="X92" i="9" a="1"/>
  <c r="X92" i="9" s="1"/>
  <c r="W92" i="9" a="1"/>
  <c r="W92" i="9" s="1"/>
  <c r="Y32" i="9"/>
  <c r="I2" i="8" s="1"/>
  <c r="T110" i="9"/>
  <c r="D5" i="8" s="1"/>
  <c r="V92" i="9" a="1"/>
  <c r="V92" i="9" s="1"/>
  <c r="U92" i="9" a="1"/>
  <c r="U92" i="9" s="1"/>
  <c r="T92" i="9" a="1"/>
  <c r="T92" i="9" s="1"/>
  <c r="Y67" i="9"/>
  <c r="I3" i="8" s="1"/>
  <c r="T32" i="9"/>
  <c r="D2" i="8" s="1"/>
  <c r="V32" i="9"/>
  <c r="F2" i="8" s="1"/>
  <c r="Y144" i="9"/>
  <c r="I6" i="8" s="1"/>
  <c r="X110" i="9"/>
  <c r="H5" i="8" s="1"/>
  <c r="X67" i="9"/>
  <c r="H3" i="8" s="1"/>
  <c r="X144" i="9"/>
  <c r="H6" i="8" s="1"/>
  <c r="W67" i="9"/>
  <c r="G3" i="8" s="1"/>
  <c r="W144" i="9"/>
  <c r="G6" i="8" s="1"/>
  <c r="V110" i="9"/>
  <c r="F5" i="8" s="1"/>
  <c r="V67" i="9"/>
  <c r="F3" i="8" s="1"/>
  <c r="V144" i="9"/>
  <c r="F6" i="8" s="1"/>
  <c r="U67" i="9"/>
  <c r="E3" i="8" s="1"/>
  <c r="T67" i="9"/>
  <c r="D3" i="8" s="1"/>
  <c r="S144" i="9"/>
  <c r="C6" i="8" s="1"/>
  <c r="Y110" i="9"/>
  <c r="I5" i="8" s="1"/>
  <c r="T144" i="9"/>
  <c r="D6" i="8" s="1"/>
  <c r="W110" i="9"/>
  <c r="G5" i="8" s="1"/>
  <c r="U110" i="9"/>
  <c r="E5" i="8" s="1"/>
  <c r="U32" i="9"/>
  <c r="E2" i="8" s="1"/>
  <c r="L139" i="6"/>
  <c r="M89" i="6"/>
  <c r="S70" i="6"/>
  <c r="T70" i="6" s="1"/>
  <c r="U36" i="6"/>
  <c r="N36" i="6" s="1"/>
  <c r="L89" i="6"/>
  <c r="S6" i="6"/>
  <c r="T159" i="6"/>
  <c r="S96" i="6"/>
  <c r="T96" i="6" s="1"/>
  <c r="U139" i="6"/>
  <c r="T148" i="6"/>
  <c r="U148" i="6"/>
  <c r="L148" i="6" s="1"/>
  <c r="Q35" i="6"/>
  <c r="N35" i="6"/>
  <c r="T93" i="6"/>
  <c r="R93" i="6" s="1"/>
  <c r="U93" i="6"/>
  <c r="T87" i="6"/>
  <c r="O87" i="6" s="1"/>
  <c r="U87" i="6"/>
  <c r="P87" i="6" s="1"/>
  <c r="U54" i="6"/>
  <c r="T54" i="6"/>
  <c r="R54" i="6" s="1"/>
  <c r="S47" i="6"/>
  <c r="T47" i="6" s="1"/>
  <c r="J62" i="6"/>
  <c r="Q62" i="6" s="1"/>
  <c r="U98" i="6"/>
  <c r="R98" i="6" s="1"/>
  <c r="L85" i="6"/>
  <c r="U32" i="6"/>
  <c r="M32" i="6" s="1"/>
  <c r="T56" i="6"/>
  <c r="N56" i="6" s="1"/>
  <c r="M85" i="6"/>
  <c r="T99" i="6"/>
  <c r="M99" i="6" s="1"/>
  <c r="U88" i="6"/>
  <c r="Q88" i="6" s="1"/>
  <c r="N159" i="6"/>
  <c r="J65" i="6"/>
  <c r="Q65" i="6" s="1"/>
  <c r="L159" i="6"/>
  <c r="N86" i="6"/>
  <c r="S120" i="6"/>
  <c r="U120" i="6" s="1"/>
  <c r="M159" i="6"/>
  <c r="S23" i="6"/>
  <c r="T23" i="6" s="1"/>
  <c r="S17" i="6"/>
  <c r="T17" i="6" s="1"/>
  <c r="S45" i="6"/>
  <c r="U45" i="6" s="1"/>
  <c r="S117" i="6"/>
  <c r="T117" i="6" s="1"/>
  <c r="L59" i="6"/>
  <c r="U124" i="6"/>
  <c r="O124" i="6" s="1"/>
  <c r="T39" i="6"/>
  <c r="M39" i="6" s="1"/>
  <c r="U107" i="6"/>
  <c r="M107" i="6" s="1"/>
  <c r="S20" i="6"/>
  <c r="T20" i="6" s="1"/>
  <c r="S92" i="6"/>
  <c r="U92" i="6" s="1"/>
  <c r="R35" i="6"/>
  <c r="S21" i="6"/>
  <c r="U21" i="6" s="1"/>
  <c r="S116" i="6"/>
  <c r="U116" i="6" s="1"/>
  <c r="T136" i="6"/>
  <c r="P136" i="6" s="1"/>
  <c r="Q74" i="6"/>
  <c r="S22" i="6"/>
  <c r="T22" i="6" s="1"/>
  <c r="F62" i="6"/>
  <c r="M62" i="6" s="1"/>
  <c r="T4" i="6"/>
  <c r="L4" i="6" s="1"/>
  <c r="S67" i="9"/>
  <c r="C3" i="8" s="1"/>
  <c r="S32" i="9"/>
  <c r="C2" i="8" s="1"/>
  <c r="U6" i="6"/>
  <c r="T6" i="6"/>
  <c r="O6" i="6" s="1"/>
  <c r="Q43" i="6"/>
  <c r="M43" i="6"/>
  <c r="U14" i="6"/>
  <c r="T14" i="6"/>
  <c r="P146" i="6"/>
  <c r="L146" i="6"/>
  <c r="N146" i="6"/>
  <c r="R146" i="6"/>
  <c r="G59" i="6"/>
  <c r="N59" i="6" s="1"/>
  <c r="M59" i="6"/>
  <c r="P74" i="6"/>
  <c r="S25" i="6"/>
  <c r="T25" i="6" s="1"/>
  <c r="S113" i="6"/>
  <c r="U113" i="6" s="1"/>
  <c r="P35" i="6"/>
  <c r="U44" i="6"/>
  <c r="O44" i="6" s="1"/>
  <c r="J144" i="6"/>
  <c r="Q144" i="6" s="1"/>
  <c r="N148" i="6"/>
  <c r="T140" i="6"/>
  <c r="L140" i="6" s="1"/>
  <c r="T118" i="6"/>
  <c r="N118" i="6" s="1"/>
  <c r="R73" i="6"/>
  <c r="Q39" i="6"/>
  <c r="M35" i="6"/>
  <c r="L35" i="6"/>
  <c r="F144" i="6"/>
  <c r="S11" i="6"/>
  <c r="T11" i="6" s="1"/>
  <c r="O159" i="6"/>
  <c r="L56" i="6"/>
  <c r="P159" i="6"/>
  <c r="S114" i="6"/>
  <c r="T114" i="6" s="1"/>
  <c r="Q159" i="6"/>
  <c r="Q56" i="6"/>
  <c r="P99" i="6"/>
  <c r="F65" i="6"/>
  <c r="M65" i="6" s="1"/>
  <c r="U100" i="6"/>
  <c r="Q100" i="6" s="1"/>
  <c r="R159" i="6"/>
  <c r="P54" i="6"/>
  <c r="T57" i="6"/>
  <c r="P57" i="6" s="1"/>
  <c r="S158" i="6"/>
  <c r="U158" i="6" s="1"/>
  <c r="P56" i="6"/>
  <c r="O35" i="6"/>
  <c r="O99" i="6"/>
  <c r="Q146" i="6"/>
  <c r="R56" i="6"/>
  <c r="J60" i="6"/>
  <c r="Q60" i="6" s="1"/>
  <c r="U75" i="6"/>
  <c r="R75" i="6" s="1"/>
  <c r="J66" i="6"/>
  <c r="Q66" i="6" s="1"/>
  <c r="N99" i="6"/>
  <c r="F66" i="6"/>
  <c r="M66" i="6" s="1"/>
  <c r="M139" i="6"/>
  <c r="U122" i="6"/>
  <c r="N122" i="6" s="1"/>
  <c r="G62" i="6"/>
  <c r="S48" i="6"/>
  <c r="T48" i="6" s="1"/>
  <c r="T72" i="6"/>
  <c r="M72" i="6" s="1"/>
  <c r="P124" i="6"/>
  <c r="S27" i="6"/>
  <c r="T27" i="6" s="1"/>
  <c r="M4" i="6"/>
  <c r="T15" i="6"/>
  <c r="Q15" i="6" s="1"/>
  <c r="R86" i="6"/>
  <c r="T128" i="6"/>
  <c r="R128" i="6" s="1"/>
  <c r="S115" i="6"/>
  <c r="T115" i="6" s="1"/>
  <c r="F64" i="6"/>
  <c r="G64" i="6" s="1"/>
  <c r="L74" i="6"/>
  <c r="L62" i="6"/>
  <c r="U73" i="6"/>
  <c r="P73" i="6" s="1"/>
  <c r="T147" i="6"/>
  <c r="N147" i="6" s="1"/>
  <c r="S67" i="6"/>
  <c r="N89" i="6"/>
  <c r="H89" i="6"/>
  <c r="O89" i="6" s="1"/>
  <c r="T67" i="6"/>
  <c r="U67" i="6"/>
  <c r="M57" i="6"/>
  <c r="Q57" i="6"/>
  <c r="M123" i="6"/>
  <c r="T45" i="6"/>
  <c r="U17" i="6"/>
  <c r="S19" i="6"/>
  <c r="U96" i="6"/>
  <c r="Q96" i="6" s="1"/>
  <c r="U38" i="6"/>
  <c r="N38" i="6" s="1"/>
  <c r="M88" i="6"/>
  <c r="M41" i="6"/>
  <c r="Q41" i="6"/>
  <c r="S106" i="6"/>
  <c r="L88" i="6"/>
  <c r="S46" i="6"/>
  <c r="G60" i="6"/>
  <c r="M60" i="6"/>
  <c r="N88" i="6"/>
  <c r="T42" i="6"/>
  <c r="R99" i="6"/>
  <c r="R136" i="6"/>
  <c r="T116" i="6"/>
  <c r="P116" i="6" s="1"/>
  <c r="U3" i="6"/>
  <c r="Q3" i="6" s="1"/>
  <c r="L71" i="6"/>
  <c r="T40" i="6"/>
  <c r="O88" i="6"/>
  <c r="S95" i="6"/>
  <c r="N151" i="6"/>
  <c r="M151" i="6"/>
  <c r="L151" i="6"/>
  <c r="P151" i="6"/>
  <c r="L93" i="6"/>
  <c r="M93" i="6"/>
  <c r="N93" i="6"/>
  <c r="P93" i="6"/>
  <c r="Q93" i="6"/>
  <c r="Q6" i="6"/>
  <c r="Q87" i="6"/>
  <c r="S13" i="6"/>
  <c r="R71" i="6"/>
  <c r="T134" i="6"/>
  <c r="N139" i="6"/>
  <c r="O139" i="6"/>
  <c r="P139" i="6"/>
  <c r="Q139" i="6"/>
  <c r="R139" i="6"/>
  <c r="M146" i="6"/>
  <c r="U31" i="6"/>
  <c r="S9" i="6"/>
  <c r="N31" i="6"/>
  <c r="L31" i="6"/>
  <c r="L102" i="6"/>
  <c r="M128" i="6"/>
  <c r="O122" i="6"/>
  <c r="N102" i="6"/>
  <c r="U123" i="6"/>
  <c r="Q123" i="6" s="1"/>
  <c r="S8" i="6"/>
  <c r="T68" i="6"/>
  <c r="S119" i="6"/>
  <c r="T12" i="6"/>
  <c r="N41" i="6"/>
  <c r="K157" i="6"/>
  <c r="R102" i="6"/>
  <c r="Q102" i="6"/>
  <c r="O102" i="6"/>
  <c r="M102" i="6"/>
  <c r="R4" i="6"/>
  <c r="N4" i="6"/>
  <c r="N61" i="6"/>
  <c r="H61" i="6"/>
  <c r="O61" i="6" s="1"/>
  <c r="N123" i="6"/>
  <c r="S24" i="6"/>
  <c r="S5" i="6"/>
  <c r="O41" i="6"/>
  <c r="O71" i="6"/>
  <c r="J63" i="6"/>
  <c r="Q63" i="6" s="1"/>
  <c r="T33" i="6"/>
  <c r="U33" i="6"/>
  <c r="Q136" i="6"/>
  <c r="O151" i="6"/>
  <c r="U135" i="6"/>
  <c r="Q135" i="6" s="1"/>
  <c r="P86" i="6"/>
  <c r="Q86" i="6"/>
  <c r="L86" i="6"/>
  <c r="M86" i="6"/>
  <c r="O86" i="6"/>
  <c r="M96" i="6"/>
  <c r="S7" i="6"/>
  <c r="S26" i="6"/>
  <c r="P41" i="6"/>
  <c r="O74" i="6"/>
  <c r="P145" i="6"/>
  <c r="T34" i="6"/>
  <c r="U34" i="6"/>
  <c r="O56" i="6"/>
  <c r="M56" i="6"/>
  <c r="Q151" i="6"/>
  <c r="U129" i="6"/>
  <c r="T129" i="6"/>
  <c r="O146" i="6"/>
  <c r="N43" i="6"/>
  <c r="M61" i="6"/>
  <c r="N71" i="6"/>
  <c r="F145" i="6"/>
  <c r="S69" i="6"/>
  <c r="R151" i="6"/>
  <c r="N140" i="6"/>
  <c r="Q148" i="6"/>
  <c r="P148" i="6"/>
  <c r="O96" i="6"/>
  <c r="P71" i="6"/>
  <c r="S133" i="6"/>
  <c r="R88" i="6"/>
  <c r="Q99" i="6"/>
  <c r="L99" i="6"/>
  <c r="S49" i="6"/>
  <c r="Q124" i="6"/>
  <c r="S130" i="6"/>
  <c r="U22" i="6"/>
  <c r="N22" i="6" s="1"/>
  <c r="P88" i="6"/>
  <c r="R43" i="6"/>
  <c r="P43" i="6"/>
  <c r="O43" i="6"/>
  <c r="R90" i="6"/>
  <c r="S90" i="6"/>
  <c r="S10" i="6"/>
  <c r="S121" i="6"/>
  <c r="L43" i="6"/>
  <c r="R41" i="6"/>
  <c r="M71" i="6"/>
  <c r="M74" i="6"/>
  <c r="Q73" i="6"/>
  <c r="L124" i="6"/>
  <c r="Q147" i="6"/>
  <c r="P147" i="6"/>
  <c r="O147" i="6"/>
  <c r="T131" i="6"/>
  <c r="U131" i="6"/>
  <c r="O93" i="6"/>
  <c r="T2" i="6"/>
  <c r="T21" i="6"/>
  <c r="S18" i="6"/>
  <c r="L87" i="6"/>
  <c r="U37" i="6"/>
  <c r="T37" i="6"/>
  <c r="N74" i="6"/>
  <c r="R74" i="6"/>
  <c r="T132" i="6"/>
  <c r="L63" i="6"/>
  <c r="F63" i="6"/>
  <c r="Q75" i="6"/>
  <c r="P75" i="6"/>
  <c r="T149" i="6"/>
  <c r="R85" i="6"/>
  <c r="U150" i="6"/>
  <c r="O150" i="6" s="1"/>
  <c r="U137" i="6"/>
  <c r="L137" i="6" s="1"/>
  <c r="T110" i="6"/>
  <c r="U138" i="6"/>
  <c r="Q138" i="6" s="1"/>
  <c r="T94" i="6"/>
  <c r="R94" i="6" s="1"/>
  <c r="U97" i="6"/>
  <c r="Q97" i="6" s="1"/>
  <c r="S91" i="6"/>
  <c r="Q85" i="6"/>
  <c r="P85" i="6"/>
  <c r="O85" i="6"/>
  <c r="T16" i="6"/>
  <c r="F9" i="8" l="1"/>
  <c r="E9" i="8"/>
  <c r="G9" i="8"/>
  <c r="D9" i="8"/>
  <c r="H9" i="8"/>
  <c r="I9" i="8"/>
  <c r="P107" i="6"/>
  <c r="M87" i="6"/>
  <c r="Q45" i="6"/>
  <c r="P67" i="6"/>
  <c r="O98" i="6"/>
  <c r="P98" i="6"/>
  <c r="P36" i="6"/>
  <c r="R36" i="6"/>
  <c r="M98" i="6"/>
  <c r="M36" i="6"/>
  <c r="O36" i="6"/>
  <c r="O54" i="6"/>
  <c r="M54" i="6"/>
  <c r="L98" i="6"/>
  <c r="N39" i="6"/>
  <c r="L97" i="6"/>
  <c r="Q36" i="6"/>
  <c r="L72" i="6"/>
  <c r="Q4" i="6"/>
  <c r="U23" i="6"/>
  <c r="L23" i="6" s="1"/>
  <c r="T120" i="6"/>
  <c r="R14" i="6"/>
  <c r="U70" i="6"/>
  <c r="O70" i="6" s="1"/>
  <c r="N87" i="6"/>
  <c r="L36" i="6"/>
  <c r="L39" i="6"/>
  <c r="L57" i="6"/>
  <c r="M45" i="6"/>
  <c r="P6" i="6"/>
  <c r="U47" i="6"/>
  <c r="L47" i="6" s="1"/>
  <c r="O32" i="6"/>
  <c r="O72" i="6"/>
  <c r="Q72" i="6"/>
  <c r="Q54" i="6"/>
  <c r="L54" i="6"/>
  <c r="R57" i="6"/>
  <c r="O22" i="6"/>
  <c r="T92" i="6"/>
  <c r="P92" i="6" s="1"/>
  <c r="P32" i="6"/>
  <c r="O57" i="6"/>
  <c r="N54" i="6"/>
  <c r="L122" i="6"/>
  <c r="R6" i="6"/>
  <c r="U20" i="6"/>
  <c r="P20" i="6" s="1"/>
  <c r="N124" i="6"/>
  <c r="N98" i="6"/>
  <c r="R87" i="6"/>
  <c r="U117" i="6"/>
  <c r="R117" i="6" s="1"/>
  <c r="P4" i="6"/>
  <c r="M122" i="6"/>
  <c r="O39" i="6"/>
  <c r="N96" i="6"/>
  <c r="L32" i="6"/>
  <c r="P22" i="6"/>
  <c r="R122" i="6"/>
  <c r="R96" i="6"/>
  <c r="N107" i="6"/>
  <c r="P39" i="6"/>
  <c r="R118" i="6"/>
  <c r="H59" i="6"/>
  <c r="O59" i="6" s="1"/>
  <c r="L96" i="6"/>
  <c r="N32" i="6"/>
  <c r="R32" i="6"/>
  <c r="R45" i="6"/>
  <c r="R107" i="6"/>
  <c r="R39" i="6"/>
  <c r="Q122" i="6"/>
  <c r="P118" i="6"/>
  <c r="Q107" i="6"/>
  <c r="P140" i="6"/>
  <c r="M124" i="6"/>
  <c r="Q118" i="6"/>
  <c r="O140" i="6"/>
  <c r="Q98" i="6"/>
  <c r="L107" i="6"/>
  <c r="Q140" i="6"/>
  <c r="R140" i="6"/>
  <c r="T158" i="6"/>
  <c r="L158" i="6" s="1"/>
  <c r="U48" i="6"/>
  <c r="L48" i="6" s="1"/>
  <c r="L147" i="6"/>
  <c r="M148" i="6"/>
  <c r="L100" i="6"/>
  <c r="O128" i="6"/>
  <c r="M140" i="6"/>
  <c r="N57" i="6"/>
  <c r="O148" i="6"/>
  <c r="R148" i="6"/>
  <c r="O97" i="6"/>
  <c r="Q137" i="6"/>
  <c r="G65" i="6"/>
  <c r="H65" i="6" s="1"/>
  <c r="O65" i="6" s="1"/>
  <c r="O107" i="6"/>
  <c r="P97" i="6"/>
  <c r="M137" i="6"/>
  <c r="R97" i="6"/>
  <c r="M116" i="6"/>
  <c r="O4" i="6"/>
  <c r="Q32" i="6"/>
  <c r="C9" i="8"/>
  <c r="L73" i="6"/>
  <c r="U25" i="6"/>
  <c r="O25" i="6" s="1"/>
  <c r="U115" i="6"/>
  <c r="L115" i="6" s="1"/>
  <c r="M64" i="6"/>
  <c r="O75" i="6"/>
  <c r="N15" i="6"/>
  <c r="O15" i="6"/>
  <c r="G66" i="6"/>
  <c r="L15" i="6"/>
  <c r="P44" i="6"/>
  <c r="Q38" i="6"/>
  <c r="M144" i="6"/>
  <c r="G144" i="6"/>
  <c r="N44" i="6"/>
  <c r="P96" i="6"/>
  <c r="P137" i="6"/>
  <c r="R72" i="6"/>
  <c r="P72" i="6"/>
  <c r="N72" i="6"/>
  <c r="P122" i="6"/>
  <c r="P128" i="6"/>
  <c r="L128" i="6"/>
  <c r="Q128" i="6"/>
  <c r="L75" i="6"/>
  <c r="M75" i="6"/>
  <c r="M44" i="6"/>
  <c r="N75" i="6"/>
  <c r="N64" i="6"/>
  <c r="H64" i="6"/>
  <c r="O64" i="6" s="1"/>
  <c r="M15" i="6"/>
  <c r="P14" i="6"/>
  <c r="L14" i="6"/>
  <c r="O14" i="6"/>
  <c r="N14" i="6"/>
  <c r="M14" i="6"/>
  <c r="O137" i="6"/>
  <c r="M158" i="6"/>
  <c r="L138" i="6"/>
  <c r="U11" i="6"/>
  <c r="Q11" i="6" s="1"/>
  <c r="N62" i="6"/>
  <c r="H62" i="6"/>
  <c r="O62" i="6" s="1"/>
  <c r="M118" i="6"/>
  <c r="O118" i="6"/>
  <c r="L118" i="6"/>
  <c r="P15" i="6"/>
  <c r="N137" i="6"/>
  <c r="M138" i="6"/>
  <c r="R15" i="6"/>
  <c r="R47" i="6"/>
  <c r="U27" i="6"/>
  <c r="Q27" i="6" s="1"/>
  <c r="R100" i="6"/>
  <c r="M100" i="6"/>
  <c r="N100" i="6"/>
  <c r="O100" i="6"/>
  <c r="P100" i="6"/>
  <c r="Q44" i="6"/>
  <c r="R44" i="6"/>
  <c r="T113" i="6"/>
  <c r="Q113" i="6" s="1"/>
  <c r="P23" i="6"/>
  <c r="U114" i="6"/>
  <c r="L114" i="6" s="1"/>
  <c r="Q14" i="6"/>
  <c r="O38" i="6"/>
  <c r="N73" i="6"/>
  <c r="O73" i="6"/>
  <c r="R137" i="6"/>
  <c r="N117" i="6"/>
  <c r="R147" i="6"/>
  <c r="M147" i="6"/>
  <c r="L44" i="6"/>
  <c r="M73" i="6"/>
  <c r="U13" i="6"/>
  <c r="T13" i="6"/>
  <c r="N115" i="6"/>
  <c r="Q115" i="6"/>
  <c r="O115" i="6"/>
  <c r="R115" i="6"/>
  <c r="L12" i="6"/>
  <c r="P12" i="6"/>
  <c r="N12" i="6"/>
  <c r="M12" i="6"/>
  <c r="Q12" i="6"/>
  <c r="O12" i="6"/>
  <c r="O40" i="6"/>
  <c r="M40" i="6"/>
  <c r="P40" i="6"/>
  <c r="L40" i="6"/>
  <c r="N40" i="6"/>
  <c r="Q40" i="6"/>
  <c r="R40" i="6"/>
  <c r="N60" i="6"/>
  <c r="H60" i="6"/>
  <c r="O60" i="6" s="1"/>
  <c r="Q150" i="6"/>
  <c r="N67" i="6"/>
  <c r="L67" i="6"/>
  <c r="M67" i="6"/>
  <c r="O67" i="6"/>
  <c r="T10" i="6"/>
  <c r="U10" i="6"/>
  <c r="T8" i="6"/>
  <c r="U8" i="6"/>
  <c r="T133" i="6"/>
  <c r="U133" i="6"/>
  <c r="P47" i="6"/>
  <c r="N37" i="6"/>
  <c r="Q37" i="6"/>
  <c r="O37" i="6"/>
  <c r="P37" i="6"/>
  <c r="R37" i="6"/>
  <c r="L37" i="6"/>
  <c r="M37" i="6"/>
  <c r="U46" i="6"/>
  <c r="T46" i="6"/>
  <c r="U69" i="6"/>
  <c r="T69" i="6"/>
  <c r="P38" i="6"/>
  <c r="M23" i="6"/>
  <c r="U121" i="6"/>
  <c r="T121" i="6"/>
  <c r="T119" i="6"/>
  <c r="U119" i="6"/>
  <c r="U9" i="6"/>
  <c r="T9" i="6"/>
  <c r="Q117" i="6"/>
  <c r="L150" i="6"/>
  <c r="R22" i="6"/>
  <c r="N68" i="6"/>
  <c r="R68" i="6"/>
  <c r="Q68" i="6"/>
  <c r="P68" i="6"/>
  <c r="O68" i="6"/>
  <c r="M68" i="6"/>
  <c r="L68" i="6"/>
  <c r="R150" i="6"/>
  <c r="T26" i="6"/>
  <c r="U26" i="6"/>
  <c r="R135" i="6"/>
  <c r="U7" i="6"/>
  <c r="T7" i="6"/>
  <c r="M31" i="6"/>
  <c r="R31" i="6"/>
  <c r="Q31" i="6"/>
  <c r="O31" i="6"/>
  <c r="P31" i="6"/>
  <c r="P135" i="6"/>
  <c r="P45" i="6"/>
  <c r="L22" i="6"/>
  <c r="O23" i="6"/>
  <c r="L42" i="6"/>
  <c r="Q42" i="6"/>
  <c r="P42" i="6"/>
  <c r="R42" i="6"/>
  <c r="O42" i="6"/>
  <c r="N42" i="6"/>
  <c r="M42" i="6"/>
  <c r="Q17" i="6"/>
  <c r="R17" i="6"/>
  <c r="N17" i="6"/>
  <c r="P17" i="6"/>
  <c r="R34" i="6"/>
  <c r="M34" i="6"/>
  <c r="N34" i="6"/>
  <c r="O34" i="6"/>
  <c r="Q34" i="6"/>
  <c r="P34" i="6"/>
  <c r="L34" i="6"/>
  <c r="M150" i="6"/>
  <c r="O117" i="6"/>
  <c r="U18" i="6"/>
  <c r="T18" i="6"/>
  <c r="L117" i="6"/>
  <c r="T5" i="6"/>
  <c r="U5" i="6"/>
  <c r="M38" i="6"/>
  <c r="L21" i="6"/>
  <c r="M21" i="6"/>
  <c r="Q21" i="6"/>
  <c r="R21" i="6"/>
  <c r="O21" i="6"/>
  <c r="P21" i="6"/>
  <c r="N21" i="6"/>
  <c r="R129" i="6"/>
  <c r="M129" i="6"/>
  <c r="Q129" i="6"/>
  <c r="P129" i="6"/>
  <c r="L129" i="6"/>
  <c r="O129" i="6"/>
  <c r="U24" i="6"/>
  <c r="T24" i="6"/>
  <c r="L38" i="6"/>
  <c r="T106" i="6"/>
  <c r="U106" i="6"/>
  <c r="Q22" i="6"/>
  <c r="M3" i="6"/>
  <c r="N25" i="6"/>
  <c r="G145" i="6"/>
  <c r="M145" i="6"/>
  <c r="N150" i="6"/>
  <c r="P150" i="6"/>
  <c r="R38" i="6"/>
  <c r="Q67" i="6"/>
  <c r="M22" i="6"/>
  <c r="N47" i="6"/>
  <c r="R3" i="6"/>
  <c r="T49" i="6"/>
  <c r="U49" i="6"/>
  <c r="L132" i="6"/>
  <c r="P132" i="6"/>
  <c r="O132" i="6"/>
  <c r="Q132" i="6"/>
  <c r="R132" i="6"/>
  <c r="M132" i="6"/>
  <c r="M63" i="6"/>
  <c r="G63" i="6"/>
  <c r="M97" i="6"/>
  <c r="T130" i="6"/>
  <c r="U130" i="6"/>
  <c r="R67" i="6"/>
  <c r="M47" i="6"/>
  <c r="N116" i="6"/>
  <c r="L116" i="6"/>
  <c r="Q116" i="6"/>
  <c r="O116" i="6"/>
  <c r="R116" i="6"/>
  <c r="U19" i="6"/>
  <c r="T19" i="6"/>
  <c r="N3" i="6"/>
  <c r="O20" i="6"/>
  <c r="N20" i="6"/>
  <c r="R20" i="6"/>
  <c r="U95" i="6"/>
  <c r="T95" i="6"/>
  <c r="N66" i="6"/>
  <c r="H66" i="6"/>
  <c r="O66" i="6" s="1"/>
  <c r="P2" i="6"/>
  <c r="L2" i="6"/>
  <c r="M2" i="6"/>
  <c r="Q2" i="6"/>
  <c r="O2" i="6"/>
  <c r="R2" i="6"/>
  <c r="N2" i="6"/>
  <c r="M94" i="6"/>
  <c r="N94" i="6"/>
  <c r="O94" i="6"/>
  <c r="P94" i="6"/>
  <c r="Q94" i="6"/>
  <c r="L94" i="6"/>
  <c r="N97" i="6"/>
  <c r="L123" i="6"/>
  <c r="S157" i="6"/>
  <c r="O17" i="6"/>
  <c r="O3" i="6"/>
  <c r="P149" i="6"/>
  <c r="M149" i="6"/>
  <c r="O149" i="6"/>
  <c r="N149" i="6"/>
  <c r="L149" i="6"/>
  <c r="R149" i="6"/>
  <c r="Q149" i="6"/>
  <c r="P33" i="6"/>
  <c r="R33" i="6"/>
  <c r="O33" i="6"/>
  <c r="N33" i="6"/>
  <c r="L33" i="6"/>
  <c r="Q33" i="6"/>
  <c r="M33" i="6"/>
  <c r="O138" i="6"/>
  <c r="N138" i="6"/>
  <c r="P138" i="6"/>
  <c r="R138" i="6"/>
  <c r="P123" i="6"/>
  <c r="Q134" i="6"/>
  <c r="R134" i="6"/>
  <c r="P134" i="6"/>
  <c r="Q114" i="6"/>
  <c r="R114" i="6"/>
  <c r="M114" i="6"/>
  <c r="O114" i="6"/>
  <c r="N114" i="6"/>
  <c r="R92" i="6"/>
  <c r="M92" i="6"/>
  <c r="L92" i="6"/>
  <c r="N92" i="6"/>
  <c r="L3" i="6"/>
  <c r="S89" i="6"/>
  <c r="O47" i="6"/>
  <c r="Q110" i="6"/>
  <c r="O110" i="6"/>
  <c r="R110" i="6"/>
  <c r="P110" i="6"/>
  <c r="N110" i="6"/>
  <c r="M110" i="6"/>
  <c r="L110" i="6"/>
  <c r="L131" i="6"/>
  <c r="P131" i="6"/>
  <c r="M131" i="6"/>
  <c r="Q131" i="6"/>
  <c r="O131" i="6"/>
  <c r="R131" i="6"/>
  <c r="M115" i="6"/>
  <c r="R12" i="6"/>
  <c r="P3" i="6"/>
  <c r="R123" i="6"/>
  <c r="N45" i="6"/>
  <c r="O45" i="6"/>
  <c r="L45" i="6"/>
  <c r="O123" i="6"/>
  <c r="L17" i="6"/>
  <c r="M17" i="6"/>
  <c r="P16" i="6"/>
  <c r="M16" i="6"/>
  <c r="N16" i="6"/>
  <c r="Q16" i="6"/>
  <c r="O16" i="6"/>
  <c r="L16" i="6"/>
  <c r="R16" i="6"/>
  <c r="P70" i="6" l="1"/>
  <c r="O48" i="6"/>
  <c r="N48" i="6"/>
  <c r="R23" i="6"/>
  <c r="R70" i="6"/>
  <c r="P25" i="6"/>
  <c r="L27" i="6"/>
  <c r="N120" i="6"/>
  <c r="M120" i="6"/>
  <c r="R120" i="6"/>
  <c r="R25" i="6"/>
  <c r="N70" i="6"/>
  <c r="L25" i="6"/>
  <c r="M25" i="6"/>
  <c r="Q70" i="6"/>
  <c r="Q48" i="6"/>
  <c r="Q47" i="6"/>
  <c r="P120" i="6"/>
  <c r="N23" i="6"/>
  <c r="Q120" i="6"/>
  <c r="L70" i="6"/>
  <c r="L120" i="6"/>
  <c r="Q25" i="6"/>
  <c r="N65" i="6"/>
  <c r="O120" i="6"/>
  <c r="O158" i="6"/>
  <c r="Q23" i="6"/>
  <c r="M70" i="6"/>
  <c r="P115" i="6"/>
  <c r="M113" i="6"/>
  <c r="R27" i="6"/>
  <c r="M11" i="6"/>
  <c r="L20" i="6"/>
  <c r="N113" i="6"/>
  <c r="Q158" i="6"/>
  <c r="O113" i="6"/>
  <c r="L11" i="6"/>
  <c r="L113" i="6"/>
  <c r="R113" i="6"/>
  <c r="P117" i="6"/>
  <c r="Q20" i="6"/>
  <c r="O92" i="6"/>
  <c r="M27" i="6"/>
  <c r="M48" i="6"/>
  <c r="M20" i="6"/>
  <c r="N11" i="6"/>
  <c r="Q92" i="6"/>
  <c r="R48" i="6"/>
  <c r="P113" i="6"/>
  <c r="N158" i="6"/>
  <c r="P158" i="6"/>
  <c r="O11" i="6"/>
  <c r="P48" i="6"/>
  <c r="R158" i="6"/>
  <c r="M117" i="6"/>
  <c r="R11" i="6"/>
  <c r="N144" i="6"/>
  <c r="H144" i="6"/>
  <c r="O144" i="6" s="1"/>
  <c r="P11" i="6"/>
  <c r="P114" i="6"/>
  <c r="N27" i="6"/>
  <c r="P27" i="6"/>
  <c r="O27" i="6"/>
  <c r="M7" i="6"/>
  <c r="O7" i="6"/>
  <c r="P7" i="6"/>
  <c r="L7" i="6"/>
  <c r="N7" i="6"/>
  <c r="Q7" i="6"/>
  <c r="R7" i="6"/>
  <c r="L9" i="6"/>
  <c r="O9" i="6"/>
  <c r="P9" i="6"/>
  <c r="N9" i="6"/>
  <c r="Q9" i="6"/>
  <c r="R9" i="6"/>
  <c r="M9" i="6"/>
  <c r="M119" i="6"/>
  <c r="P119" i="6"/>
  <c r="L119" i="6"/>
  <c r="N119" i="6"/>
  <c r="R119" i="6"/>
  <c r="O119" i="6"/>
  <c r="Q119" i="6"/>
  <c r="L121" i="6"/>
  <c r="Q121" i="6"/>
  <c r="M121" i="6"/>
  <c r="P121" i="6"/>
  <c r="O121" i="6"/>
  <c r="N121" i="6"/>
  <c r="R121" i="6"/>
  <c r="R106" i="6"/>
  <c r="Q106" i="6"/>
  <c r="O106" i="6"/>
  <c r="M106" i="6"/>
  <c r="P106" i="6"/>
  <c r="L106" i="6"/>
  <c r="N106" i="6"/>
  <c r="N26" i="6"/>
  <c r="O26" i="6"/>
  <c r="P26" i="6"/>
  <c r="M26" i="6"/>
  <c r="R26" i="6"/>
  <c r="Q26" i="6"/>
  <c r="L26" i="6"/>
  <c r="L8" i="6"/>
  <c r="N8" i="6"/>
  <c r="P8" i="6"/>
  <c r="Q8" i="6"/>
  <c r="M8" i="6"/>
  <c r="R8" i="6"/>
  <c r="O8" i="6"/>
  <c r="L18" i="6"/>
  <c r="Q18" i="6"/>
  <c r="R18" i="6"/>
  <c r="M18" i="6"/>
  <c r="N18" i="6"/>
  <c r="P18" i="6"/>
  <c r="O18" i="6"/>
  <c r="H145" i="6"/>
  <c r="O145" i="6" s="1"/>
  <c r="N145" i="6"/>
  <c r="P10" i="6"/>
  <c r="Q10" i="6"/>
  <c r="O10" i="6"/>
  <c r="N10" i="6"/>
  <c r="R10" i="6"/>
  <c r="L10" i="6"/>
  <c r="M10" i="6"/>
  <c r="O133" i="6"/>
  <c r="P133" i="6"/>
  <c r="Q133" i="6"/>
  <c r="M133" i="6"/>
  <c r="L133" i="6"/>
  <c r="R133" i="6"/>
  <c r="N63" i="6"/>
  <c r="H63" i="6"/>
  <c r="O63" i="6" s="1"/>
  <c r="P69" i="6"/>
  <c r="R69" i="6"/>
  <c r="N69" i="6"/>
  <c r="L69" i="6"/>
  <c r="O69" i="6"/>
  <c r="Q69" i="6"/>
  <c r="M69" i="6"/>
  <c r="O95" i="6"/>
  <c r="L95" i="6"/>
  <c r="M95" i="6"/>
  <c r="R95" i="6"/>
  <c r="P95" i="6"/>
  <c r="N95" i="6"/>
  <c r="Q95" i="6"/>
  <c r="P24" i="6"/>
  <c r="R24" i="6"/>
  <c r="Q24" i="6"/>
  <c r="N24" i="6"/>
  <c r="O24" i="6"/>
  <c r="L24" i="6"/>
  <c r="M24" i="6"/>
  <c r="M19" i="6"/>
  <c r="R19" i="6"/>
  <c r="N19" i="6"/>
  <c r="L19" i="6"/>
  <c r="P19" i="6"/>
  <c r="Q19" i="6"/>
  <c r="O19" i="6"/>
  <c r="O130" i="6"/>
  <c r="L130" i="6"/>
  <c r="Q130" i="6"/>
  <c r="M130" i="6"/>
  <c r="P130" i="6"/>
  <c r="R130" i="6"/>
  <c r="U157" i="6"/>
  <c r="T157" i="6"/>
  <c r="M46" i="6"/>
  <c r="O46" i="6"/>
  <c r="R46" i="6"/>
  <c r="P46" i="6"/>
  <c r="N46" i="6"/>
  <c r="Q46" i="6"/>
  <c r="L46" i="6"/>
  <c r="O5" i="6"/>
  <c r="R5" i="6"/>
  <c r="P5" i="6"/>
  <c r="Q5" i="6"/>
  <c r="N49" i="6"/>
  <c r="R49" i="6"/>
  <c r="P49" i="6"/>
  <c r="Q49" i="6"/>
  <c r="M49" i="6"/>
  <c r="O49" i="6"/>
  <c r="L49" i="6"/>
  <c r="Q13" i="6"/>
  <c r="R13" i="6"/>
  <c r="N13" i="6"/>
  <c r="L13" i="6"/>
  <c r="P13" i="6"/>
  <c r="O13" i="6"/>
  <c r="M13" i="6"/>
  <c r="S55" i="6"/>
  <c r="S58" i="6"/>
  <c r="M157" i="6" l="1"/>
  <c r="L157" i="6"/>
  <c r="O157" i="6"/>
  <c r="Q157" i="6"/>
  <c r="N157" i="6"/>
  <c r="P157" i="6"/>
  <c r="R157" i="6"/>
  <c r="U58" i="6"/>
  <c r="T58" i="6"/>
  <c r="T55" i="6"/>
  <c r="U55" i="6"/>
  <c r="M58" i="6" l="1"/>
  <c r="R58" i="6"/>
  <c r="N58" i="6"/>
  <c r="P58" i="6"/>
  <c r="Q58" i="6"/>
  <c r="O58" i="6"/>
  <c r="L58" i="6"/>
  <c r="Q55" i="6"/>
  <c r="P55" i="6"/>
  <c r="O55" i="6"/>
  <c r="L55" i="6"/>
  <c r="M55" i="6"/>
  <c r="N55" i="6"/>
  <c r="R55" i="6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<sst xmlns="http://schemas.openxmlformats.org/spreadsheetml/2006/main" count="1796" uniqueCount="359">
  <si>
    <t>Indikátor</t>
  </si>
  <si>
    <t>Alindex</t>
  </si>
  <si>
    <t>Forrás</t>
  </si>
  <si>
    <t>Módszertan</t>
  </si>
  <si>
    <t>Régi súlyozás</t>
  </si>
  <si>
    <t>Új súlyozás</t>
  </si>
  <si>
    <t>Megjegyzés</t>
  </si>
  <si>
    <t>Kései magzathalálozás</t>
  </si>
  <si>
    <t>Életminőség</t>
  </si>
  <si>
    <t>https://statinfo.ksh.hu/Statinfo/QueryServlet?ha=NV1C08</t>
  </si>
  <si>
    <t>Inverz</t>
  </si>
  <si>
    <t>Csecsemőhalálozás</t>
  </si>
  <si>
    <t>https://statinfo.ksh.hu/Statinfo/QueryServlet?ha=NH3B07</t>
  </si>
  <si>
    <t>Összes halálozás Budapesten</t>
  </si>
  <si>
    <t>https://statinfo.ksh.hu/Statinfo/QueryServlet?ha=NH3A07</t>
  </si>
  <si>
    <t>A házi gyermekorvosi ellátásban a telemedicinális ellátások ezer lakosra vetítve (eset)</t>
  </si>
  <si>
    <t>TEIR</t>
  </si>
  <si>
    <t>Normál</t>
  </si>
  <si>
    <t>A háziorvosi ellátásban a telemedicinális ellátások ezer lakosra vetítve (eset)</t>
  </si>
  <si>
    <t>Hálózati csőtörések az év folyamán (főnyomó- és elosztóvezetéki) (db)</t>
  </si>
  <si>
    <t>Felnőtt megbetegedések ezer lakosra (eset)</t>
  </si>
  <si>
    <t>Gyógyszerforgalom; Beteg: Összesen (fő)</t>
  </si>
  <si>
    <t>Mentális és viselkedés zavarokkal összefüggő megbetegedések ezer lakosra (eset)</t>
  </si>
  <si>
    <t>Gyógyszerforgalom; Beteg: Mentális és viselkedés zavarok (BNO: F00-F99) (fő)</t>
  </si>
  <si>
    <t>Daganatos megbetegedések ezer lakosra (eset)</t>
  </si>
  <si>
    <t>Gyógyszerforgalom; Beteg: Daganatok (BNO: C00-D48) (fő)</t>
  </si>
  <si>
    <t>Az év folyamán nyilvántartásba vett daganatos betegek száma ezer lakosra vetítve (fő)</t>
  </si>
  <si>
    <t>Súlyos anyagi és szociális deprivációban élők aránya</t>
  </si>
  <si>
    <t>https://www.ksh.hu/stadat_files/ele/hu/ele0039.html</t>
  </si>
  <si>
    <t>Mennyire érzi biztonságban magát, ha egyedül sétál lakóhelye környékén sötétedés után? (inkább)</t>
  </si>
  <si>
    <t>https://ec.europa.eu/eurostat/databrowser/view/urb_percep/default/table?lang=en</t>
  </si>
  <si>
    <t>2023-as adat folytatólagosan</t>
  </si>
  <si>
    <t>Születéskor várható élettartam</t>
  </si>
  <si>
    <t>https://ec.europa.eu/eurostat/databrowser/view/tgs00101/default/table?lang=en</t>
  </si>
  <si>
    <t>Min(x)=0.9Med(x) és Max(x)=1.1Med(x)</t>
  </si>
  <si>
    <t>Egészségesen várható élettartam (születéskor)</t>
  </si>
  <si>
    <t>https://ec.europa.eu/eurostat/databrowser/view/hlth_hlye/default/table?lang=en</t>
  </si>
  <si>
    <t>Egy háziorvosra és házi gyermekorvosra jutó lakos (fő)</t>
  </si>
  <si>
    <t>Bűncselekmények száma ezer lakosra vetítve (db)</t>
  </si>
  <si>
    <t>https://www.ksh.hu/stadat_files/iga/hu/iga0008.html</t>
  </si>
  <si>
    <t>Ismeretterjesztő rendezvények száma ezer lakosra vetítve (db)</t>
  </si>
  <si>
    <t>https://www.ksh.hu/stadat_files/ksp/hu/ksp0021.html</t>
  </si>
  <si>
    <t>2 és 3 váltakozik</t>
  </si>
  <si>
    <t>Ismeretterjesztő rendezvények résztvevői ezer lakosra vetítve (ezer fő)</t>
  </si>
  <si>
    <t>Alkotó művelődési közösségek száma ezer lakosra vetítve (db)</t>
  </si>
  <si>
    <t>Alkotó művelődési közösségek tagjai ezer lakosra vetítve (ezer fő)</t>
  </si>
  <si>
    <t>Szórakoztató rendezvények száma ezer lakosra vetítve (db)</t>
  </si>
  <si>
    <t>Szórakoztató rendezvények résztvevőinek száma ezer lakosra vetítve (ezer fő)</t>
  </si>
  <si>
    <t>Közösségi rendezvények száma ezer lakosra vetítve (db)</t>
  </si>
  <si>
    <t>Közösségi rendezvények résztvevői ezer lakosra vetítve (ezer fő)</t>
  </si>
  <si>
    <t>Színházak előadásai ezer lakosra vetítve (db)</t>
  </si>
  <si>
    <t>https://www.ksh.hu/stadat_files/ksp/hu/ksp0022.html</t>
  </si>
  <si>
    <t>Mozielőadások ezer lakosra vetítve (db)</t>
  </si>
  <si>
    <t>https://www.ksh.hu/stadat_files/ksp/hu/ksp0023.html</t>
  </si>
  <si>
    <t>A CCTV-kamerák biztonságosabbá tették a lakosok életét</t>
  </si>
  <si>
    <t>IMD</t>
  </si>
  <si>
    <t>Szubjektív, értéket használni indexnek</t>
  </si>
  <si>
    <t>Az orvosi rendelések online megszervezése javította a hozzáférést.</t>
  </si>
  <si>
    <t>Az előadásokra és múzeumokba szóló jegyek online megvásárlása megkönnyítette a részvételt</t>
  </si>
  <si>
    <t>A nagyon alacsony munkaintenzitású háztartásokban élők (%)</t>
  </si>
  <si>
    <t>https://ec.europa.eu/eurostat/databrowser/view/tgs00108/default/table?lang=en</t>
  </si>
  <si>
    <t>Hajléktalanok száma</t>
  </si>
  <si>
    <t>Tudástár: a Február Harmadika Kutatás letölthető anyagai - Menhely Alapítvány</t>
  </si>
  <si>
    <t>Menedékhely Alapítvány</t>
  </si>
  <si>
    <t>Regisztrált társas vállalkozás; Szakmai, tudományos, műszaki tevékenység  (db)</t>
  </si>
  <si>
    <t>Gazdaság</t>
  </si>
  <si>
    <t>Regisztrált társas vállalkozás; Oktatás (db)</t>
  </si>
  <si>
    <t>Regisztrált vállalkozás; Információ, kommunikáció (db)</t>
  </si>
  <si>
    <t>Alkalmazott; Műszaki, informatikai és természettudományi területen (fő)</t>
  </si>
  <si>
    <t>Alkalmazott; Egészségügyi területen (fő)</t>
  </si>
  <si>
    <t>Alkalmazott; Szociális szolgáltatási területen (fő)</t>
  </si>
  <si>
    <t>Alkalmazott; Oktatói, pedagógusi területen (fő)</t>
  </si>
  <si>
    <t>Alkalmazott; Gazdálkodási területen (fő)</t>
  </si>
  <si>
    <t>Alkalmazott; Kulturális, sport-, művészeti és vallási területen (fő)</t>
  </si>
  <si>
    <t>Alkalmazott; Jogi és társadalomtudományi területen (fő)</t>
  </si>
  <si>
    <t>Magyar bejelentők engedélyezett belföldi szabadalmi bejelentéseinek száma (bejelentői részarány szerint) (db)</t>
  </si>
  <si>
    <t>K+F-ráfordítás (falakon belüli) a GDP százalékában</t>
  </si>
  <si>
    <t>https://www.ksh.hu/stadat_files/tte/hu/tte0022.html</t>
  </si>
  <si>
    <t>Kutató-fejlesztő helyek száma ezer lakosra vetítve (db)</t>
  </si>
  <si>
    <t>https://www.ksh.hu/stadat_files/tte/hu/tte0023.html</t>
  </si>
  <si>
    <t>Kutató-fejlesztő helyek tényleges, állományi K+F-létszáma ezer lakosra vetítve (fő)</t>
  </si>
  <si>
    <t>Kutató-fejlesztő helyek K+F-beruházásai ezer lakosra vetítve (millió ft)</t>
  </si>
  <si>
    <t>https://www.ksh.hu/stadat_files/tte/hu/tte0024.html</t>
  </si>
  <si>
    <t>Bruttó hazai termék (GDP)</t>
  </si>
  <si>
    <t>https://www.ksh.hu/stadat_files/gdp/en/gdp0077.html</t>
  </si>
  <si>
    <t>https://www.ksh.hu/stadat_files/jov/hu/jov0045.html</t>
  </si>
  <si>
    <t>A munkaközvetítő szolgáltatások könnyen elérhetők</t>
  </si>
  <si>
    <t>A vállalkozások új munkahelyeket teremtenek</t>
  </si>
  <si>
    <t>Az álláshirdetésekhez való online hozzáférés megkönnyítette a munkakeresést</t>
  </si>
  <si>
    <t>A város által nyújtott online szolgáltatások megkönnyítették a vállalkozásindítást.</t>
  </si>
  <si>
    <t>Bruttó hozzááadott érték</t>
  </si>
  <si>
    <t>https://ec.europa.eu/eurostat/databrowser/view/nama_10r_3gva/default/table?lang=en</t>
  </si>
  <si>
    <t>A 15-64 éves korosztály foglalkoztatási rátája</t>
  </si>
  <si>
    <t>https://ec.europa.eu/eurostat/databrowser/view/tgs00007/default/table?lang=en</t>
  </si>
  <si>
    <t>Min(x)=0.8Med(x) és Max(x)=1.2Med(x)</t>
  </si>
  <si>
    <t>Munkanélküliségi ráta</t>
  </si>
  <si>
    <t>https://ec.europa.eu/eurostat/databrowser/view/tgs00010/default/table?lang=en</t>
  </si>
  <si>
    <t>Min(x=2% és Max(x)=5%</t>
  </si>
  <si>
    <t xml:space="preserve">https://statinfo.ksh.hu/Statinfo/QueryServlet?ha=SL1A02 </t>
  </si>
  <si>
    <t>Egy munkavállalóra jutó innovációs kiadás (EU27%)</t>
  </si>
  <si>
    <t>https://ec.europa.eu/assets/rtd/ris/2025/ec_rtd_ris-regional-profile-hu.pdf</t>
  </si>
  <si>
    <t>BFVT javasolta, Min(x)=60, Max(x)=140</t>
  </si>
  <si>
    <t>KKV-k által bevezetett termékinnovációk (EU27%)</t>
  </si>
  <si>
    <t>Mennyire működnek együtt innovatív KKV-k egymással? (EU27%)</t>
  </si>
  <si>
    <t>PCT szabadalmi kérelmek (EU27%)</t>
  </si>
  <si>
    <t>Védjegybejelentések (EU27%)</t>
  </si>
  <si>
    <t>Piacnak új és cégnek új innovációk értékesítései (EU27%)</t>
  </si>
  <si>
    <t>Közepes és magas technológiai termékek exportja  (EU27%)</t>
  </si>
  <si>
    <t>Munkaerő termelékenység (EU27%)</t>
  </si>
  <si>
    <t>Lakás megújulási ráta (új lakások/lakásállomány)</t>
  </si>
  <si>
    <t xml:space="preserve">összes lakásszám: https://statinfo.ksh.hu/Statinfo/QueryServlet?ha=RD1A02 </t>
  </si>
  <si>
    <t>Veszélyes hulladékok keletkezett mennyisége ezer lakosra vetítve (kg)</t>
  </si>
  <si>
    <t>Kormányzás</t>
  </si>
  <si>
    <t>https://www.ksh.hu/stadat_files/kor/hu/kor0061.html</t>
  </si>
  <si>
    <t>Az újrafeldolgozott hulladékból komposztálással hasznosított hulladék aránya (tonna)</t>
  </si>
  <si>
    <t>https://statinfo.ksh.hu/Statinfo/QueryServlet?ha=UR2S05</t>
  </si>
  <si>
    <t>Számolni az összeshez viszonyítva</t>
  </si>
  <si>
    <t>Az összes hasznosított és ártalmatlanított hulladékból az újrafeldolgozással hasznosított hulladék aránya (tonna)</t>
  </si>
  <si>
    <t>A szennyvízgyűjtő-hálózat (bekötővezeték nélkül) állományváltozása év közben, új fektetés (km)</t>
  </si>
  <si>
    <t>Megkérdezzük a vízművektől, amúgy csak szennyvízre van adat</t>
  </si>
  <si>
    <t>Önkormányzati tulajdonú lakások száma (db)</t>
  </si>
  <si>
    <t>https://statinfo.ksh.hu/Statinfo/QueryServlet?ha=RI1004</t>
  </si>
  <si>
    <t>Min(x)=0.8Med(x), Max(x)=1.2Med(x)</t>
  </si>
  <si>
    <t>Egy számítógépre jutó nappali tagozatos tanuló a gimnáziumokban (fő)</t>
  </si>
  <si>
    <t>Egy számítógépre jutó nappali tagozatos tanulók az általános iskolákban (fő)</t>
  </si>
  <si>
    <t>Egy pedagógusra jutó tanuló</t>
  </si>
  <si>
    <t>https://www.ksh.hu/stadat_files/okt/hu/okt0031.html</t>
  </si>
  <si>
    <t>A városkarbantartási problémák online bejelentése gyors megoldást kínál</t>
  </si>
  <si>
    <t>Egy weboldal vagy alkalmazás lehetővé teszi a lakosok számára, hogy könnyen leadják a nem kívánt tárgyakat.</t>
  </si>
  <si>
    <t>Az ingyenes nyilvános wifi javította a városi szolgáltatások elérhetőségét.</t>
  </si>
  <si>
    <t>A városi pénzügyekhez való online nyilvános hozzáférés csökkentette a korrupciót</t>
  </si>
  <si>
    <t>Az online szavazás növelte a részvételt</t>
  </si>
  <si>
    <t>Egy online platform, ahol a lakosok ötleteket javasolhatnak, javította a város életét.</t>
  </si>
  <si>
    <t>A személyazonosító okmányok online feldolgozása csökkentette a várakozási időt</t>
  </si>
  <si>
    <t>A lakosok hozzájárulnak a helyi önkormányzati döntéshozatalhoz</t>
  </si>
  <si>
    <t>A lakosok visszajelzést adnak a helyi önkormányzati projektekről</t>
  </si>
  <si>
    <t>Közösségi költségvetés: keret (millió forint)</t>
  </si>
  <si>
    <t>Saját számítás</t>
  </si>
  <si>
    <t>Közösségi költségvetés: részvétel</t>
  </si>
  <si>
    <t>Termékenységi ráta</t>
  </si>
  <si>
    <t>https://ec.europa.eu/eurostat/databrowser/view/demo_r_find3/default/table?lang=en</t>
  </si>
  <si>
    <t>Nem foglalkoztatott, sem oktatásban és képzésben nem részesülő fiatalok aránya (%)</t>
  </si>
  <si>
    <t>https://ec.europa.eu/eurostat/databrowser/view/edat_lfse_22/default/table?lang=en</t>
  </si>
  <si>
    <t>Public-private közös publikációk (EU27%)</t>
  </si>
  <si>
    <t>Az összes hasznosított és ártalmatlanított hulladékból energiahasznosítással történő égetéssel hasznosított hulladék aránya (tonna)</t>
  </si>
  <si>
    <t>https://statinfo.ksh.hu/Statinfo/haDetails.jsp?query=kshquery&amp;lang=hu</t>
  </si>
  <si>
    <t>A begyűjtött hulladékból az elkülönítetten gyűjtött összes mennyisége (tonna)</t>
  </si>
  <si>
    <t xml:space="preserve">https://statinfo.ksh.hu/Statinfo/QueryServlet?ha=UR2S10 </t>
  </si>
  <si>
    <t>Járókelő.hu: bejelentett/megoldott ügyek</t>
  </si>
  <si>
    <t>https://jarokelo.hu/</t>
  </si>
  <si>
    <t>Járókelő.hu: megoldások átlagos ideje</t>
  </si>
  <si>
    <t>Önkormányzati tulajdonban lévő védett természeti terület (m2)</t>
  </si>
  <si>
    <t>Környezet</t>
  </si>
  <si>
    <t>Közüzemi szennyvízgyűjtő-hálózatban (közcsatornában) tisztítottan elvezetett összes szennyvíz (1000 m3)</t>
  </si>
  <si>
    <t>Közüzemi ivóvízvezeték-hálózat hossza (km)</t>
  </si>
  <si>
    <t>Erdőterület (hektár)</t>
  </si>
  <si>
    <t>Ivóvízminőség átlaga</t>
  </si>
  <si>
    <t>Min(x)=Határérték és Max(x)=Javasolt érték</t>
  </si>
  <si>
    <t>Átlagos nitrogén-dioxid koncentráció</t>
  </si>
  <si>
    <t>https://www.ksh.hu/stadat_files/kor/hu/kor0046.html</t>
  </si>
  <si>
    <t>Min és max a határérték és az ajánlott érték</t>
  </si>
  <si>
    <t>A levegő legfeljebb 2,5 µm átmérőjű szálló porral (PM2,5) való szennyezettsége az automata mérőállomásokon</t>
  </si>
  <si>
    <t>https://www.ksh.hu/stadat_files/kor/hu/kor0051.html</t>
  </si>
  <si>
    <t>Az újrahasznosítási szolgáltatások kielégítők</t>
  </si>
  <si>
    <t>Egy weboldal vagy alkalmazás lehetővé teszi a lakosok számára a légszennyezés hatékony nyomon követését.</t>
  </si>
  <si>
    <t>Távfűtésbe bekapcsolt lakások aránya</t>
  </si>
  <si>
    <t>Levegőszennyezettség-mérő állomások</t>
  </si>
  <si>
    <t xml:space="preserve">O3 </t>
  </si>
  <si>
    <t>https://www.ksh.hu/stadat_files/kor/en/kor0048.html</t>
  </si>
  <si>
    <t>PM10</t>
  </si>
  <si>
    <t xml:space="preserve">https://budapest.hu/api/file/doc/m01-bkae-2024-10-21.pdf </t>
  </si>
  <si>
    <t xml:space="preserve">https://statinfo.ksh.hu/Statinfo/QueryServlet?ha=UW405 </t>
  </si>
  <si>
    <t>Egy főre jutó keletkezett hulladék (kg)</t>
  </si>
  <si>
    <t xml:space="preserve">https://statinfo.ksh.hu/Statinfo/QueryServlet?ha=UR2S03 </t>
  </si>
  <si>
    <t>Tisztított közterület nagysága</t>
  </si>
  <si>
    <t xml:space="preserve">https://statinfo.ksh.hu/Statinfo/haDetails.jsp?query=kshquery&amp;lang=hu </t>
  </si>
  <si>
    <t>Közúti forgalom zajterhelésével (65 dB feletti zajterheléssel) érintett lakosság aránya százalékban kifejezve</t>
  </si>
  <si>
    <t>Budapest zöldfelületi intenzitása</t>
  </si>
  <si>
    <t>Internet-előfizetések ezer lakosra vetítve (db)</t>
  </si>
  <si>
    <t>Lakosság</t>
  </si>
  <si>
    <t>https://www.ksh.hu/stadat_files/ikt/hu/ikt0025.html</t>
  </si>
  <si>
    <t>Felsőfokú oklevelet szerzett hallgatók (képzési hely szerint) ezer lakosra vetítve (fő)</t>
  </si>
  <si>
    <t>Felsőoktatásban részt vevő hallgatók (képzési hely szerint) ezer lakosra vetítve (fő)</t>
  </si>
  <si>
    <t>Muzeális intézmények száma ezer lakosra vetítve (db)</t>
  </si>
  <si>
    <t>https://www.ksh.hu/stadat_files/ksp/hu/ksp0019.html</t>
  </si>
  <si>
    <t>Muzeális intézményekben rendezett kiállítások száma ezer lakosra vetítve (db)</t>
  </si>
  <si>
    <t>Muzeális intézmények látogatóinak száma ezer lakosra vetítve</t>
  </si>
  <si>
    <t>Könyvtárak száma ezer lakosra vetítve (db)</t>
  </si>
  <si>
    <t>https://www.ksh.hu/stadat_files/ksp/hu/ksp0020.html</t>
  </si>
  <si>
    <t>Ezer lakosra jutó kölcsönzött könyvtári egység (db)</t>
  </si>
  <si>
    <t>Beiratkozott könyvtári olvasók száma ezer lakosra vetítve (ezer fő)</t>
  </si>
  <si>
    <t>Ezer lakosra jutó színházi látogatás (db)</t>
  </si>
  <si>
    <t>Ezer lakosra jutó mozi-látogatás (fő)</t>
  </si>
  <si>
    <t>Érettségizettek a nappali oktatásban a 18 évesek százalékában</t>
  </si>
  <si>
    <t>https://www.ksh.hu/stadat_files/okt/hu/okt0034.html</t>
  </si>
  <si>
    <t>A legtöbb gyermek jó iskolába járhat</t>
  </si>
  <si>
    <t>Az egész életen át tartó tanulási lehetőségeket a helyi intézmények biztosítják</t>
  </si>
  <si>
    <t>Az informatikai készségeket jól tanítják az iskolákban</t>
  </si>
  <si>
    <t>Kompetenciamérés (6. évfolyam, eltérés az országos átlagtól): matek</t>
  </si>
  <si>
    <t>https://www.oktatas.hu/kozneveles/meresek/orszagos_meresek_eredmenyei_2025/terkepes_attekintes_2025</t>
  </si>
  <si>
    <t>Kompetenciamérés (8. évfolyam, eltérés az országos átlagtól): matek</t>
  </si>
  <si>
    <t>Kompetenciamérés (10. évfolyam, eltérés az országos átlagtól): matek</t>
  </si>
  <si>
    <t>Kompetenciamérés (6. évfolyam, eltérés az országos átlagtól): szövegértés</t>
  </si>
  <si>
    <t>Kompetenciamérés (8. évfolyam, eltérés az országos átlagtól): szövegértés</t>
  </si>
  <si>
    <t>https://www.oktatas.hu/kozneveles/meresek/orszagos_meresek_eredmenyei_2025/terkepes_attekintes_2026</t>
  </si>
  <si>
    <t>Kompetenciamérés (10. évfolyam, eltérés az országos átlagtól): szövegértés</t>
  </si>
  <si>
    <t>https://www.oktatas.hu/kozneveles/meresek/orszagos_meresek_eredmenyei_2025/terkepes_attekintes_2027</t>
  </si>
  <si>
    <t>Kompetenciamérés (6. évfolyam, eltérés az országos átlagtól): természettudomány</t>
  </si>
  <si>
    <t>https://www.oktatas.hu/kozneveles/meresek/orszagos_meresek_eredmenyei_2025/terkepes_attekintes_2028</t>
  </si>
  <si>
    <t>Kompetenciamérés (8. évfolyam, eltérés az országos átlagtól): természettudomány</t>
  </si>
  <si>
    <t>https://www.oktatas.hu/kozneveles/meresek/orszagos_meresek_eredmenyei_2025/terkepes_attekintes_2029</t>
  </si>
  <si>
    <t>Kompetenciamérés (10. évfolyam, eltérés az országos átlagtól): természettudomány</t>
  </si>
  <si>
    <t>https://www.oktatas.hu/kozneveles/meresek/orszagos_meresek_eredmenyei_2025/terkepes_attekintes_2030</t>
  </si>
  <si>
    <t>Felsőfokú végzettség</t>
  </si>
  <si>
    <t>https://ec.europa.eu/eurostat/databrowser/view/tgs00109/default/table?lang=en</t>
  </si>
  <si>
    <t>Az oktatásból és képzésből idő előtt kilépők</t>
  </si>
  <si>
    <t>https://ec.europa.eu/eurostat/databrowser/view/EDAT_LFSE_16/default/table?lang=en</t>
  </si>
  <si>
    <t>Felsőfokú végzettséggel (ISCED) rendelkező és/vagy a tudomány és technológia területén dolgozó személyek</t>
  </si>
  <si>
    <t>https://ec.europa.eu/eurostat/databrowser/view/tgs00038/default/table?lang=en</t>
  </si>
  <si>
    <t>Foglalkoztatás a csúcstechnológiai ágazatokban</t>
  </si>
  <si>
    <t>https://ec.europa.eu/eurostat/databrowser/view/tgs00039/default/table?lang=en</t>
  </si>
  <si>
    <t>Internet-hozzáféréssel rendelkező háztartások</t>
  </si>
  <si>
    <t>https://ec.europa.eu/eurostat/databrowser/view/tgs00047/default/table?lang=en</t>
  </si>
  <si>
    <t>Max(x)=100%, Min(x)=1%</t>
  </si>
  <si>
    <t>Az internetet rendszeresen használó magánszemélyek</t>
  </si>
  <si>
    <t>https://ec.europa.eu/eurostat/databrowser/view/tgs00050/default/table?lang=en</t>
  </si>
  <si>
    <t>Magánszemélyek, akik az elmúlt évben magáncélra interneten keresztül rendeltek árukat vagy szolgáltatásokat.</t>
  </si>
  <si>
    <t>https://ec.europa.eu/eurostat/databrowser/view/tgs00052/default/table?lang=en</t>
  </si>
  <si>
    <t>Nemzetközi tudományos közös publikációk (EU27%)</t>
  </si>
  <si>
    <t>Tudományos publikációk a top10% legidézettebb publikációk között (EU27 %)</t>
  </si>
  <si>
    <t>Továbbszámított népesség száma (évközépi)</t>
  </si>
  <si>
    <t>https://statinfo.ksh.hu/Statinfo/QueryServlet?ha=NT6C01</t>
  </si>
  <si>
    <t>Önkormányzati kerékpárút, közös gyalog- és kerékpárút hossza (km)</t>
  </si>
  <si>
    <t>Mobilitás</t>
  </si>
  <si>
    <t>Szállított utasok a helyi tömegközlekedésben (1000 fő)</t>
  </si>
  <si>
    <t xml:space="preserve">https://www.ksh.hu/stadat_files/sza/hu/sza0021.html </t>
  </si>
  <si>
    <t>Utaskilométer a helyi tömegközlekedésben (1000 km)</t>
  </si>
  <si>
    <t>Személygépkocsik ezer lakosra vetítve (db)</t>
  </si>
  <si>
    <t>https://www.ksh.hu/stadat_files/sza/hu/sza0040.html</t>
  </si>
  <si>
    <t>Működtetett vasúti vonalhossz</t>
  </si>
  <si>
    <t>https://www.ksh.hu/stadat_files/sza/hu/sza0041.html</t>
  </si>
  <si>
    <t>A forgalmi torlódások nem jelentenek problémát</t>
  </si>
  <si>
    <t>Az autómegosztó alkalmazások csökkentették a torlódásokat</t>
  </si>
  <si>
    <t>A szabad parkolóhelyre irányító alkalmazások csökkentették az utazási időt.</t>
  </si>
  <si>
    <t>A kerékpárkölcsönzés csökkentette a torlódásokat</t>
  </si>
  <si>
    <t>Az online menetrendkészítés és jegyértékesítés megkönnyítette a tömegközlekedés használatát.</t>
  </si>
  <si>
    <t>Tisztán elektromos személygépkocsik száma</t>
  </si>
  <si>
    <t>https://ec.europa.eu/eurostat/databrowser/view/tran_r_elvehst/default/table?lang=en</t>
  </si>
  <si>
    <t xml:space="preserve">Összes személyi sérüléssel járó közúti közlekedési baleset (eset) </t>
  </si>
  <si>
    <t>Carsharing: elérhető autók (Greengo, Wigo, Mol Limo)</t>
  </si>
  <si>
    <t xml:space="preserve"> </t>
  </si>
  <si>
    <t>2018i</t>
  </si>
  <si>
    <t>2019i</t>
  </si>
  <si>
    <t>2020i</t>
  </si>
  <si>
    <t>2021i</t>
  </si>
  <si>
    <t>2022i</t>
  </si>
  <si>
    <t>2023i</t>
  </si>
  <si>
    <t>2024i</t>
  </si>
  <si>
    <t>Med(x)</t>
  </si>
  <si>
    <t>Min(x)</t>
  </si>
  <si>
    <t>Max(x)</t>
  </si>
  <si>
    <t xml:space="preserve">https://statinfo.ksh.hu/Statinfo/QueryServlet?ha=NV1C08 </t>
  </si>
  <si>
    <t xml:space="preserve">https://statinfo.ksh.hu/Statinfo/QueryServlet?ha=NH3A07 </t>
  </si>
  <si>
    <t>-</t>
  </si>
  <si>
    <t>Megbetegedések gyógyszerforgalom alapján ezer lakosra (eset)</t>
  </si>
  <si>
    <t>Mentális és viselkedés zavarokkal összefüggő megbetegedések gyógyszerforgalom alapján ezer lakosra (eset)</t>
  </si>
  <si>
    <t>Daganatos megbetegedések gyógyszerforgalom alapján ezer lakosra (eset)</t>
  </si>
  <si>
    <t xml:space="preserve">https://www.ksh.hu/stadat_files/ege/hu/ege0051.html </t>
  </si>
  <si>
    <t>Nemzetközi összehasonlítás szövegesen ez alapján https://ec.europa.eu/eurostat/databrowser/view/crim_gen_reg/default/table?lang=en</t>
  </si>
  <si>
    <t xml:space="preserve">https://www.ksh.hu/stadat_files/ksp/hu/ksp0021.html </t>
  </si>
  <si>
    <t xml:space="preserve">https://www.ksh.hu/stadat_files/ksp/hu/ksp0022.html </t>
  </si>
  <si>
    <t xml:space="preserve">https://www.ksh.hu/stadat_files/ksp/hu/ksp0023.html </t>
  </si>
  <si>
    <t>adatforrás kétséges, Budapest bejelentette a hajléktalan felmérést</t>
  </si>
  <si>
    <t>Trendábra a számokból, összehasonlítás (három terület, műszaki, gazdálkodási, humán aggregát), értelmiség nő, műszkai terület növekedése hozza ezt, szövegesen egyesével is</t>
  </si>
  <si>
    <t xml:space="preserve">https://www.ksh.hu/stadat_files/tte/hu/tte0023.html </t>
  </si>
  <si>
    <t xml:space="preserve">https://www.ksh.hu/stadat_files/tte/hu/tte0024.html </t>
  </si>
  <si>
    <t>Egy főre jutó nettó jövedelmek az országos átlag százalékában (%)</t>
  </si>
  <si>
    <t>Egy főre jutó nettó jövedelem inflációval súlyozva (millió forint, 2018 bázis)</t>
  </si>
  <si>
    <t xml:space="preserve">https://www.ksh.hu/stadat_files/jov/hu/jov0045.html </t>
  </si>
  <si>
    <t>Értékesített lakások átlagos ára az egy főre jutó éves nettó jövedelem arányában (év)</t>
  </si>
  <si>
    <t xml:space="preserve">https://ec.europa.eu/assets/rtd/ris/2025/ec_rtd_ris-regional-profile-hu.pdf </t>
  </si>
  <si>
    <t>https://ec.europa.eu/assets/rtd/ris/2025/ec_rtd_ris-regional-profile-hu.pd</t>
  </si>
  <si>
    <t>Veszélyes hulladékok keletkezett mennyisége egy lakosra vetítve (kg)</t>
  </si>
  <si>
    <t>Az újrafeldolgozott hulladékból komposztálással hasznosított hulladék aránya (%)</t>
  </si>
  <si>
    <t xml:space="preserve">https://statinfo.ksh.hu/Statinfo/QueryServlet?ha=UR2S05 </t>
  </si>
  <si>
    <t>Az összes hasznosított és ártalmatlanított hulladékból az újrafeldolgozással hasznosított hulladék aránya (%)</t>
  </si>
  <si>
    <t>https://statinfo.ksh.hu/Statinfo/QueryServlet?ha=UW404</t>
  </si>
  <si>
    <t xml:space="preserve">https://www.ksh.hu/stadat_files/okt/hu/okt0031.html </t>
  </si>
  <si>
    <t xml:space="preserve">https://ec.europa.eu/eurostat/databrowser/view/edat_lfse_22/default/table?lang=en </t>
  </si>
  <si>
    <t>Az összes hasznosított és ártalmatlanított hulladékból energiahasznosítással történő égetéssel hasznosított hulladék aránya (%)</t>
  </si>
  <si>
    <t>A begyűjtött hulladékból az elkülönítetten gyűjtött összes mennyisége (%)</t>
  </si>
  <si>
    <t>Önkormányzati tulajdonban lévő védett természeti terület (km2)</t>
  </si>
  <si>
    <t>Ivóvízminőség átlaga (határérték %)</t>
  </si>
  <si>
    <t>Átlagos nitrogén-dioxid koncentráció (g/m3)</t>
  </si>
  <si>
    <t xml:space="preserve">https://www.ksh.hu/stadat_files/kor/hu/kor0046.html </t>
  </si>
  <si>
    <t>A levegő legfeljebb 2,5 µm átmérőjű szálló porral (PM2,5) való szennyezettsége az automata mérőállomásokon (g/m3)</t>
  </si>
  <si>
    <t xml:space="preserve">https://www.ksh.hu/stadat_files/kor/hu/kor0051.html </t>
  </si>
  <si>
    <t>Levegőminőségben fontos, 2024-ben először új tendencia, nem csökkent</t>
  </si>
  <si>
    <t>Átlagos ózon (O3) koncetráció (g/m3)</t>
  </si>
  <si>
    <t>A levegő legfeljebb 10 µm átmérőjű szálló porral (PM10) való szennyezettsége (g/m3)</t>
  </si>
  <si>
    <t>https://www.ksh.hu/stadat_files/kor/hu/kor0050.html</t>
  </si>
  <si>
    <t xml:space="preserve">https://www.ksh.hu/stadat_files/ikt/hu/ikt0025.html </t>
  </si>
  <si>
    <t xml:space="preserve">https://www.ksh.hu/stadat_files/ksp/hu/ksp0019.html </t>
  </si>
  <si>
    <t xml:space="preserve">https://www.ksh.hu/stadat_files/ksp/hu/ksp0020.html </t>
  </si>
  <si>
    <t>Beiratkozott könyvtári olvasók száma ezer lakosra vetítve (fő)</t>
  </si>
  <si>
    <t xml:space="preserve">https://www.oktatas.hu/kozneveles/meresek/orszagos_meresek_eredmenyei_2025/terkepes_attekintes_2025 </t>
  </si>
  <si>
    <t>Üzenet: kompetenciuamérési adatok az országos átlag felett vannak mindenben</t>
  </si>
  <si>
    <t xml:space="preserve">https://ec.europa.eu/eurostat/databrowser/view/tgs00109/default/table?lang=en </t>
  </si>
  <si>
    <t xml:space="preserve">https://ec.europa.eu/eurostat/databrowser/view/EDAT_LFSE_16/default/table?lang=en </t>
  </si>
  <si>
    <t>Felsőfokú végzettséggel (ISCED) rendelkező és/vagy a tudomány és technológia területén dolgozó személyek aránya (%)</t>
  </si>
  <si>
    <t xml:space="preserve">https://ec.europa.eu/eurostat/databrowser/view/tgs00038/default/table?lang=en </t>
  </si>
  <si>
    <t xml:space="preserve">https://ec.europa.eu/eurostat/databrowser/view/tgs00039/default/table?lang=en </t>
  </si>
  <si>
    <t xml:space="preserve">https://ec.europa.eu/eurostat/databrowser/view/tgs00047/default/table?lang=en </t>
  </si>
  <si>
    <t xml:space="preserve">https://ec.europa.eu/eurostat/databrowser/view/tgs00050/default/table?lang=en </t>
  </si>
  <si>
    <t xml:space="preserve">https://ec.europa.eu/eurostat/databrowser/view/tgs00052/default/table?lang=en </t>
  </si>
  <si>
    <t>Személygépkocsik (db)</t>
  </si>
  <si>
    <t>Működtetett vasúti vonalhossz (km)</t>
  </si>
  <si>
    <t>Tisztán elektromos személygépkocsik száma az európai átlag arányában</t>
  </si>
  <si>
    <t xml:space="preserve">Összes személyi sérüléssel járó közúti közlekedési baleset ezer főre vetítve (eset) </t>
  </si>
  <si>
    <t>2018si</t>
  </si>
  <si>
    <t>2019si</t>
  </si>
  <si>
    <t>2020si</t>
  </si>
  <si>
    <t>2021si</t>
  </si>
  <si>
    <t>2022si</t>
  </si>
  <si>
    <t>2023si</t>
  </si>
  <si>
    <t>2024si</t>
  </si>
  <si>
    <t>Értékesített lakások átlagos ára az egy magánháztartásra jutó éves nettó jövedelem arányában (év)</t>
  </si>
  <si>
    <t>Közösségi költségvetés: keret</t>
  </si>
  <si>
    <t>Index</t>
  </si>
  <si>
    <t>Lakosságszám ezer főre vetítve</t>
  </si>
  <si>
    <t>LSZ2018</t>
  </si>
  <si>
    <t>LSZ2019</t>
  </si>
  <si>
    <t>LSZ2020</t>
  </si>
  <si>
    <t>LSZ2021</t>
  </si>
  <si>
    <t>LSZ2022</t>
  </si>
  <si>
    <t>LSZ2023</t>
  </si>
  <si>
    <t>LSZ2024</t>
  </si>
  <si>
    <t>Alapképlet:</t>
  </si>
  <si>
    <t>Magas a jó érték</t>
  </si>
  <si>
    <t>Alacsony a jó érték</t>
  </si>
  <si>
    <t>I(x)=(x-Min(x)/Max(x)-Min(x))*99+1</t>
  </si>
  <si>
    <t>vagy</t>
  </si>
  <si>
    <t>I(x)=101-((x-Min(x)/Max(x)-Min(x))*99+1)</t>
  </si>
  <si>
    <t>Indexálás</t>
  </si>
  <si>
    <t>Min(x)=Med(x)*0.5</t>
  </si>
  <si>
    <t>Max(x)=Med(x)*1.5</t>
  </si>
  <si>
    <t>Műszaki védelemmel ellátott lerakókban elhelyezett szilárd hulladék aránya (%)</t>
  </si>
  <si>
    <t>Megtermelt bruttó hazai termékhez képest az aggregált fővárosi és kerületi költségvetés aránya (%)</t>
  </si>
  <si>
    <t>Évi egy főre jutó átlagos nettó jövedelem</t>
  </si>
  <si>
    <t>Növekedés YoY</t>
  </si>
  <si>
    <t>Előző évi infláció (tárgyévi diszkontfaktor)</t>
  </si>
  <si>
    <t>2018-as bázison súlyozott összeg</t>
  </si>
  <si>
    <t>Különbözet (tárgyévi növekedés - infláció)</t>
  </si>
  <si>
    <t>Eltérés, amenyiben az indokolt. Jelölve az adott sor végén megjegyzésként.</t>
  </si>
  <si>
    <t>A sárga értékek saját kalkulációt jelölnek.</t>
  </si>
  <si>
    <t>2021 az utolsó adat, extrapoláció</t>
  </si>
  <si>
    <t>Egy lakosra jutó nettó jövedelmek az országos átlag százalékában (%)</t>
  </si>
  <si>
    <t xml:space="preserve"> Min(x)=50, Max(x)=150</t>
  </si>
  <si>
    <t>Min(x)=60, Max(x)=140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</si>
</sst>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00"/>
  </numFmts>
  <fonts count="8" x14ac:knownFonts="1">
    <font>
      <sz val="11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0"/>
      <color rgb="FF000000"/>
      <name val="Roboto"/>
    </font>
    <font>
      <u/>
      <sz val="11"/>
      <color theme="10"/>
      <name val="Aptos Narrow"/>
      <family val="2"/>
      <scheme val="minor"/>
    </font>
    <font>
      <u/>
      <sz val="11"/>
      <color rgb="FF467886"/>
      <name val="Aptos Narrow"/>
      <family val="2"/>
      <charset val="238"/>
      <scheme val="minor"/>
    </font>
    <font>
      <sz val="8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1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3">
    <xf numFmtId="0" fontId="0" fillId="0" borderId="0"/>
    <xf numFmtId="9" fontId="6" fillId="0" borderId="0" applyFont="0" applyFill="0" applyBorder="0" applyAlignment="0" applyProtection="0"/>
    <xf numFmtId="0" fontId="3" fillId="0" borderId="0" applyNumberFormat="0" applyFill="0" applyBorder="0" applyAlignment="0" applyProtection="0"/>
  </cellStyleXfs>
  <cellXfs count="47">
    <xf numFmtId="0" fontId="0" fillId="0" borderId="0" xfId="0"/>
    <xf numFmtId="0" fontId="0" fillId="0" borderId="0" xfId="0" applyAlignment="1">
      <alignment horizontal="center"/>
    </xf>
    <xf numFmtId="0" fontId="0" fillId="2" borderId="0" xfId="0" applyFill="1"/>
    <xf numFmtId="0" fontId="3" fillId="0" borderId="0" xfId="2" applyBorder="1" applyAlignment="1">
      <alignment vertical="center"/>
    </xf>
    <xf numFmtId="0" fontId="2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2" applyBorder="1"/>
    <xf numFmtId="0" fontId="0" fillId="3" borderId="0" xfId="0" applyFill="1"/>
    <xf numFmtId="0" fontId="3" fillId="0" borderId="0" xfId="2"/>
    <xf numFmtId="0" fontId="0" fillId="4" borderId="0" xfId="0" applyFill="1"/>
    <xf numFmtId="0" fontId="1" fillId="0" borderId="0" xfId="0" applyFont="1"/>
    <xf numFmtId="0" fontId="3" fillId="0" borderId="0" xfId="2" applyFill="1"/>
    <xf numFmtId="0" fontId="3" fillId="0" borderId="0" xfId="2" applyFill="1" applyBorder="1" applyAlignment="1">
      <alignment vertical="center"/>
    </xf>
    <xf numFmtId="0" fontId="0" fillId="0" borderId="0" xfId="0" applyAlignment="1">
      <alignment horizontal="left"/>
    </xf>
    <xf numFmtId="1" fontId="0" fillId="0" borderId="0" xfId="0" applyNumberFormat="1"/>
    <xf numFmtId="0" fontId="0" fillId="0" borderId="0" xfId="0" applyAlignment="1">
      <alignment horizontal="right" vertical="center"/>
    </xf>
    <xf numFmtId="0" fontId="3" fillId="0" borderId="0" xfId="2" applyAlignment="1">
      <alignment vertical="center"/>
    </xf>
    <xf numFmtId="2" fontId="0" fillId="2" borderId="0" xfId="0" applyNumberFormat="1" applyFill="1"/>
    <xf numFmtId="4" fontId="0" fillId="0" borderId="0" xfId="0" applyNumberFormat="1"/>
    <xf numFmtId="4" fontId="0" fillId="2" borderId="0" xfId="0" applyNumberFormat="1" applyFill="1"/>
    <xf numFmtId="10" fontId="0" fillId="0" borderId="0" xfId="1" applyNumberFormat="1" applyFont="1"/>
    <xf numFmtId="164" fontId="0" fillId="0" borderId="0" xfId="0" applyNumberFormat="1"/>
    <xf numFmtId="0" fontId="7" fillId="0" borderId="0" xfId="0" applyFont="1"/>
    <xf numFmtId="3" fontId="0" fillId="0" borderId="0" xfId="0" applyNumberFormat="1"/>
    <xf numFmtId="3" fontId="0" fillId="2" borderId="0" xfId="0" applyNumberFormat="1" applyFill="1"/>
    <xf numFmtId="2" fontId="0" fillId="0" borderId="0" xfId="0" applyNumberFormat="1"/>
    <xf numFmtId="9" fontId="0" fillId="0" borderId="0" xfId="1" applyFont="1"/>
    <xf numFmtId="165" fontId="0" fillId="0" borderId="0" xfId="0" applyNumberFormat="1"/>
    <xf numFmtId="165" fontId="0" fillId="0" borderId="0" xfId="0" applyNumberFormat="1" applyAlignment="1">
      <alignment horizontal="right" vertical="center"/>
    </xf>
    <xf numFmtId="165" fontId="0" fillId="2" borderId="0" xfId="0" applyNumberFormat="1" applyFill="1"/>
    <xf numFmtId="10" fontId="0" fillId="0" borderId="0" xfId="0" applyNumberFormat="1"/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1" xfId="0" applyBorder="1" applyAlignment="1">
      <alignment horizontal="left" vertical="top" wrapText="1"/>
    </xf>
    <xf numFmtId="0" fontId="0" fillId="0" borderId="2" xfId="0" applyBorder="1" applyAlignment="1">
      <alignment horizontal="left" vertical="top" wrapText="1"/>
    </xf>
    <xf numFmtId="0" fontId="0" fillId="0" borderId="7" xfId="0" applyBorder="1" applyAlignment="1">
      <alignment horizontal="left" vertical="top" wrapText="1"/>
    </xf>
    <xf numFmtId="0" fontId="0" fillId="0" borderId="8" xfId="0" applyBorder="1" applyAlignment="1">
      <alignment horizontal="left" vertical="top" wrapText="1"/>
    </xf>
    <xf numFmtId="0" fontId="0" fillId="0" borderId="3" xfId="0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 wrapText="1"/>
    </xf>
    <xf numFmtId="0" fontId="0" fillId="0" borderId="4" xfId="0" applyBorder="1" applyAlignment="1">
      <alignment horizontal="center" wrapText="1"/>
    </xf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menhely.hu/hajlektalansagrol/tudastar/februar-harmadika-anyagok/" TargetMode="External"/><Relationship Id="rId13" Type="http://schemas.openxmlformats.org/officeDocument/2006/relationships/hyperlink" Target="https://budapest.hu/api/file/doc/m01-bkae-2024-10-21.pdf" TargetMode="External"/><Relationship Id="rId18" Type="http://schemas.openxmlformats.org/officeDocument/2006/relationships/hyperlink" Target="https://statinfo.ksh.hu/Statinfo/QueryServlet?ha=RI1004" TargetMode="External"/><Relationship Id="rId26" Type="http://schemas.openxmlformats.org/officeDocument/2006/relationships/hyperlink" Target="https://statinfo.ksh.hu/Statinfo/QueryServlet?ha=UR2S10" TargetMode="External"/><Relationship Id="rId3" Type="http://schemas.openxmlformats.org/officeDocument/2006/relationships/hyperlink" Target="https://www.ksh.hu/stadat_files/sza/hu/sza0041.html" TargetMode="External"/><Relationship Id="rId21" Type="http://schemas.openxmlformats.org/officeDocument/2006/relationships/hyperlink" Target="https://ec.europa.eu/assets/rtd/ris/2025/ec_rtd_ris-regional-profile-hu.pdf" TargetMode="External"/><Relationship Id="rId7" Type="http://schemas.openxmlformats.org/officeDocument/2006/relationships/hyperlink" Target="https://ec.europa.eu/eurostat/databrowser/view/tgs00108/default/table?lang=en" TargetMode="External"/><Relationship Id="rId12" Type="http://schemas.openxmlformats.org/officeDocument/2006/relationships/hyperlink" Target="https://statinfo.ksh.hu/Statinfo/QueryServlet?ha=SL1A02" TargetMode="External"/><Relationship Id="rId17" Type="http://schemas.openxmlformats.org/officeDocument/2006/relationships/hyperlink" Target="https://ec.europa.eu/eurostat/databrowser/view/urb_percep/default/table?lang=en" TargetMode="External"/><Relationship Id="rId25" Type="http://schemas.openxmlformats.org/officeDocument/2006/relationships/hyperlink" Target="https://statinfo.ksh.hu/Statinfo/haDetails.jsp?query=kshquery&amp;lang=hu" TargetMode="External"/><Relationship Id="rId2" Type="http://schemas.openxmlformats.org/officeDocument/2006/relationships/hyperlink" Target="https://www.ksh.hu/stadat_files/tte/hu/tte0022.html" TargetMode="External"/><Relationship Id="rId16" Type="http://schemas.openxmlformats.org/officeDocument/2006/relationships/hyperlink" Target="https://ec.europa.eu/assets/rtd/ris/2025/ec_rtd_ris-regional-profile-hu.pdf" TargetMode="External"/><Relationship Id="rId20" Type="http://schemas.openxmlformats.org/officeDocument/2006/relationships/hyperlink" Target="https://ec.europa.eu/eurostat/databrowser/view/nama_10r_3gva/default/table?lang=en" TargetMode="External"/><Relationship Id="rId29" Type="http://schemas.openxmlformats.org/officeDocument/2006/relationships/hyperlink" Target="https://www.ksh.hu/stadat_files/ege/hu/ege0051.html" TargetMode="External"/><Relationship Id="rId1" Type="http://schemas.openxmlformats.org/officeDocument/2006/relationships/hyperlink" Target="https://www.ksh.hu/stadat_files/okt/hu/okt0034.html" TargetMode="External"/><Relationship Id="rId6" Type="http://schemas.openxmlformats.org/officeDocument/2006/relationships/hyperlink" Target="https://www.ksh.hu/stadat_files/iga/hu/iga0008.html" TargetMode="External"/><Relationship Id="rId11" Type="http://schemas.openxmlformats.org/officeDocument/2006/relationships/hyperlink" Target="https://statinfo.ksh.hu/Statinfo/haDetails.jsp?query=kshquery&amp;lang=hu" TargetMode="External"/><Relationship Id="rId24" Type="http://schemas.openxmlformats.org/officeDocument/2006/relationships/hyperlink" Target="https://ec.europa.eu/eurostat/databrowser/view/hlth_hlye/default/table?lang=en" TargetMode="External"/><Relationship Id="rId5" Type="http://schemas.openxmlformats.org/officeDocument/2006/relationships/hyperlink" Target="https://www.ksh.hu/stadat_files/ksp/hu/ksp0023.html" TargetMode="External"/><Relationship Id="rId15" Type="http://schemas.openxmlformats.org/officeDocument/2006/relationships/hyperlink" Target="https://budapest.hu/api/file/doc/m01-bkae-2024-10-21.pdf" TargetMode="External"/><Relationship Id="rId23" Type="http://schemas.openxmlformats.org/officeDocument/2006/relationships/hyperlink" Target="https://ec.europa.eu/eurostat/databrowser/view/tran_r_elvehst/default/table?lang=en" TargetMode="External"/><Relationship Id="rId28" Type="http://schemas.openxmlformats.org/officeDocument/2006/relationships/hyperlink" Target="https://www.ksh.hu/stadat_files/sza/hu/sza0021.html" TargetMode="External"/><Relationship Id="rId10" Type="http://schemas.openxmlformats.org/officeDocument/2006/relationships/hyperlink" Target="https://statinfo.ksh.hu/Statinfo/QueryServlet?ha=UW405" TargetMode="External"/><Relationship Id="rId19" Type="http://schemas.openxmlformats.org/officeDocument/2006/relationships/hyperlink" Target="https://ec.europa.eu/eurostat/databrowser/view/demo_r_find3/default/table?lang=en" TargetMode="External"/><Relationship Id="rId4" Type="http://schemas.openxmlformats.org/officeDocument/2006/relationships/hyperlink" Target="https://www.ksh.hu/stadat_files/ksp/hu/ksp0020.html" TargetMode="External"/><Relationship Id="rId9" Type="http://schemas.openxmlformats.org/officeDocument/2006/relationships/hyperlink" Target="https://statinfo.ksh.hu/Statinfo/QueryServlet?ha=UR2S03" TargetMode="External"/><Relationship Id="rId14" Type="http://schemas.openxmlformats.org/officeDocument/2006/relationships/hyperlink" Target="https://budapest.hu/api/file/doc/m01-bkae-2024-10-21.pdf" TargetMode="External"/><Relationship Id="rId22" Type="http://schemas.openxmlformats.org/officeDocument/2006/relationships/hyperlink" Target="https://www.ksh.hu/stadat_files/gdp/en/gdp0077.html" TargetMode="External"/><Relationship Id="rId27" Type="http://schemas.openxmlformats.org/officeDocument/2006/relationships/hyperlink" Target="https://www.ksh.hu/stadat_files/sza/hu/sza0021.html" TargetMode="External"/></Relationships>
</file>

<file path=xl/worksheets/_rels/sheet2.xml.rels><?xml version="1.0" encoding="UTF-8" standalone="yes"?>
<Relationships xmlns="http://schemas.openxmlformats.org/package/2006/relationships"><Relationship Id="rId26" Type="http://schemas.openxmlformats.org/officeDocument/2006/relationships/hyperlink" Target="https://www.ksh.hu/stadat_files/ele/hu/ele0039.html" TargetMode="External"/><Relationship Id="rId21" Type="http://schemas.openxmlformats.org/officeDocument/2006/relationships/hyperlink" Target="https://statinfo.ksh.hu/Statinfo/QueryServlet?ha=NH3B07" TargetMode="External"/><Relationship Id="rId42" Type="http://schemas.openxmlformats.org/officeDocument/2006/relationships/hyperlink" Target="https://www.ksh.hu/stadat_files/jov/hu/jov0045.html" TargetMode="External"/><Relationship Id="rId47" Type="http://schemas.openxmlformats.org/officeDocument/2006/relationships/hyperlink" Target="https://ec.europa.eu/assets/rtd/ris/2025/ec_rtd_ris-regional-profile-hu.pd" TargetMode="External"/><Relationship Id="rId63" Type="http://schemas.openxmlformats.org/officeDocument/2006/relationships/hyperlink" Target="https://www.ksh.hu/stadat_files/ksp/hu/ksp0020.html" TargetMode="External"/><Relationship Id="rId68" Type="http://schemas.openxmlformats.org/officeDocument/2006/relationships/hyperlink" Target="https://ec.europa.eu/eurostat/databrowser/view/tgs00047/default/table?lang=en" TargetMode="External"/><Relationship Id="rId16" Type="http://schemas.openxmlformats.org/officeDocument/2006/relationships/hyperlink" Target="https://ec.europa.eu/eurostat/databrowser/view/demo_r_find3/default/table?lang=en" TargetMode="External"/><Relationship Id="rId11" Type="http://schemas.openxmlformats.org/officeDocument/2006/relationships/hyperlink" Target="https://budapest.hu/api/file/doc/m01-bkae-2024-10-21.pdf" TargetMode="External"/><Relationship Id="rId32" Type="http://schemas.openxmlformats.org/officeDocument/2006/relationships/hyperlink" Target="https://www.ksh.hu/stadat_files/ksp/hu/ksp0021.html" TargetMode="External"/><Relationship Id="rId37" Type="http://schemas.openxmlformats.org/officeDocument/2006/relationships/hyperlink" Target="https://www.ksh.hu/stadat_files/ksp/hu/ksp0022.html" TargetMode="External"/><Relationship Id="rId53" Type="http://schemas.openxmlformats.org/officeDocument/2006/relationships/hyperlink" Target="https://statinfo.ksh.hu/Statinfo/QueryServlet?ha=UR2S05" TargetMode="External"/><Relationship Id="rId58" Type="http://schemas.openxmlformats.org/officeDocument/2006/relationships/hyperlink" Target="https://www.ksh.hu/stadat_files/kor/hu/kor0051.html" TargetMode="External"/><Relationship Id="rId74" Type="http://schemas.openxmlformats.org/officeDocument/2006/relationships/hyperlink" Target="https://statinfo.ksh.hu/Statinfo/QueryServlet?ha=UR2S05" TargetMode="External"/><Relationship Id="rId79" Type="http://schemas.openxmlformats.org/officeDocument/2006/relationships/hyperlink" Target="https://www.ksh.hu/stadat_files/sza/hu/sza0021.html" TargetMode="External"/><Relationship Id="rId5" Type="http://schemas.openxmlformats.org/officeDocument/2006/relationships/hyperlink" Target="https://www.ksh.hu/stadat_files/ksp/hu/ksp0023.html" TargetMode="External"/><Relationship Id="rId61" Type="http://schemas.openxmlformats.org/officeDocument/2006/relationships/hyperlink" Target="https://www.ksh.hu/stadat_files/ksp/hu/ksp0019.html" TargetMode="External"/><Relationship Id="rId82" Type="http://schemas.openxmlformats.org/officeDocument/2006/relationships/printerSettings" Target="../printerSettings/printerSettings1.bin"/><Relationship Id="rId19" Type="http://schemas.openxmlformats.org/officeDocument/2006/relationships/hyperlink" Target="https://www.ksh.hu/stadat_files/gdp/en/gdp0077.html" TargetMode="External"/><Relationship Id="rId14" Type="http://schemas.openxmlformats.org/officeDocument/2006/relationships/hyperlink" Target="https://ec.europa.eu/eurostat/databrowser/view/urb_percep/default/table?lang=en" TargetMode="External"/><Relationship Id="rId22" Type="http://schemas.openxmlformats.org/officeDocument/2006/relationships/hyperlink" Target="https://statinfo.ksh.hu/Statinfo/QueryServlet?ha=NH3A07" TargetMode="External"/><Relationship Id="rId27" Type="http://schemas.openxmlformats.org/officeDocument/2006/relationships/hyperlink" Target="https://www.ksh.hu/stadat_files/jov/hu/jov0045.html" TargetMode="External"/><Relationship Id="rId30" Type="http://schemas.openxmlformats.org/officeDocument/2006/relationships/hyperlink" Target="https://www.ksh.hu/stadat_files/ksp/hu/ksp0021.html" TargetMode="External"/><Relationship Id="rId35" Type="http://schemas.openxmlformats.org/officeDocument/2006/relationships/hyperlink" Target="https://www.ksh.hu/stadat_files/ksp/hu/ksp0021.html" TargetMode="External"/><Relationship Id="rId43" Type="http://schemas.openxmlformats.org/officeDocument/2006/relationships/hyperlink" Target="https://ec.europa.eu/eurostat/databrowser/view/tgs00007/default/table?lang=en" TargetMode="External"/><Relationship Id="rId48" Type="http://schemas.openxmlformats.org/officeDocument/2006/relationships/hyperlink" Target="https://ec.europa.eu/assets/rtd/ris/2025/ec_rtd_ris-regional-profile-hu.pdf" TargetMode="External"/><Relationship Id="rId56" Type="http://schemas.openxmlformats.org/officeDocument/2006/relationships/hyperlink" Target="https://ec.europa.eu/eurostat/databrowser/view/edat_lfse_22/default/table?lang=en" TargetMode="External"/><Relationship Id="rId64" Type="http://schemas.openxmlformats.org/officeDocument/2006/relationships/hyperlink" Target="https://ec.europa.eu/eurostat/databrowser/view/tgs00109/default/table?lang=en" TargetMode="External"/><Relationship Id="rId69" Type="http://schemas.openxmlformats.org/officeDocument/2006/relationships/hyperlink" Target="https://ec.europa.eu/eurostat/databrowser/view/tgs00050/default/table?lang=en" TargetMode="External"/><Relationship Id="rId77" Type="http://schemas.openxmlformats.org/officeDocument/2006/relationships/hyperlink" Target="https://www.ksh.hu/stadat_files/sza/hu/sza0040.html" TargetMode="External"/><Relationship Id="rId8" Type="http://schemas.openxmlformats.org/officeDocument/2006/relationships/hyperlink" Target="https://menhely.hu/hajlektalansagrol/tudastar/februar-harmadika-anyagok/" TargetMode="External"/><Relationship Id="rId51" Type="http://schemas.openxmlformats.org/officeDocument/2006/relationships/hyperlink" Target="https://ec.europa.eu/assets/rtd/ris/2025/ec_rtd_ris-regional-profile-hu.pdf" TargetMode="External"/><Relationship Id="rId72" Type="http://schemas.openxmlformats.org/officeDocument/2006/relationships/hyperlink" Target="https://statinfo.ksh.hu/Statinfo/QueryServlet?ha=UW404" TargetMode="External"/><Relationship Id="rId80" Type="http://schemas.openxmlformats.org/officeDocument/2006/relationships/hyperlink" Target="https://www.ksh.hu/stadat_files/kor/hu/kor0061.html" TargetMode="External"/><Relationship Id="rId3" Type="http://schemas.openxmlformats.org/officeDocument/2006/relationships/hyperlink" Target="https://www.ksh.hu/stadat_files/sza/hu/sza0041.html" TargetMode="External"/><Relationship Id="rId12" Type="http://schemas.openxmlformats.org/officeDocument/2006/relationships/hyperlink" Target="https://budapest.hu/api/file/doc/m01-bkae-2024-10-21.pdf" TargetMode="External"/><Relationship Id="rId17" Type="http://schemas.openxmlformats.org/officeDocument/2006/relationships/hyperlink" Target="https://ec.europa.eu/eurostat/databrowser/view/nama_10r_3gva/default/table?lang=en" TargetMode="External"/><Relationship Id="rId25" Type="http://schemas.openxmlformats.org/officeDocument/2006/relationships/hyperlink" Target="https://www.ksh.hu/stadat_files/ege/hu/ege0051.html" TargetMode="External"/><Relationship Id="rId33" Type="http://schemas.openxmlformats.org/officeDocument/2006/relationships/hyperlink" Target="https://www.ksh.hu/stadat_files/ksp/hu/ksp0021.html" TargetMode="External"/><Relationship Id="rId38" Type="http://schemas.openxmlformats.org/officeDocument/2006/relationships/hyperlink" Target="https://www.ksh.hu/stadat_files/ksp/hu/ksp0023.html" TargetMode="External"/><Relationship Id="rId46" Type="http://schemas.openxmlformats.org/officeDocument/2006/relationships/hyperlink" Target="https://ec.europa.eu/assets/rtd/ris/2025/ec_rtd_ris-regional-profile-hu.pd" TargetMode="External"/><Relationship Id="rId59" Type="http://schemas.openxmlformats.org/officeDocument/2006/relationships/hyperlink" Target="https://www.ksh.hu/stadat_files/ikt/hu/ikt0025.html" TargetMode="External"/><Relationship Id="rId67" Type="http://schemas.openxmlformats.org/officeDocument/2006/relationships/hyperlink" Target="https://ec.europa.eu/eurostat/databrowser/view/tgs00039/default/table?lang=en" TargetMode="External"/><Relationship Id="rId20" Type="http://schemas.openxmlformats.org/officeDocument/2006/relationships/hyperlink" Target="https://ec.europa.eu/eurostat/databrowser/view/tran_r_elvehst/default/table?lang=en" TargetMode="External"/><Relationship Id="rId41" Type="http://schemas.openxmlformats.org/officeDocument/2006/relationships/hyperlink" Target="https://www.ksh.hu/stadat_files/tte/hu/tte0024.html" TargetMode="External"/><Relationship Id="rId54" Type="http://schemas.openxmlformats.org/officeDocument/2006/relationships/hyperlink" Target="https://statinfo.ksh.hu/Statinfo/QueryServlet?ha=UR2S05" TargetMode="External"/><Relationship Id="rId62" Type="http://schemas.openxmlformats.org/officeDocument/2006/relationships/hyperlink" Target="https://www.ksh.hu/stadat_files/ksp/hu/ksp0020.html" TargetMode="External"/><Relationship Id="rId70" Type="http://schemas.openxmlformats.org/officeDocument/2006/relationships/hyperlink" Target="https://ec.europa.eu/eurostat/databrowser/view/tgs00052/default/table?lang=en" TargetMode="External"/><Relationship Id="rId75" Type="http://schemas.openxmlformats.org/officeDocument/2006/relationships/hyperlink" Target="https://www.ksh.hu/stadat_files/ksp/hu/ksp0022.html" TargetMode="External"/><Relationship Id="rId1" Type="http://schemas.openxmlformats.org/officeDocument/2006/relationships/hyperlink" Target="https://www.ksh.hu/stadat_files/okt/hu/okt0034.html" TargetMode="External"/><Relationship Id="rId6" Type="http://schemas.openxmlformats.org/officeDocument/2006/relationships/hyperlink" Target="https://www.ksh.hu/stadat_files/iga/hu/iga0008.html" TargetMode="External"/><Relationship Id="rId15" Type="http://schemas.openxmlformats.org/officeDocument/2006/relationships/hyperlink" Target="https://statinfo.ksh.hu/Statinfo/QueryServlet?ha=RI1004" TargetMode="External"/><Relationship Id="rId23" Type="http://schemas.openxmlformats.org/officeDocument/2006/relationships/hyperlink" Target="https://statinfo.ksh.hu/Statinfo/QueryServlet?ha=NV1C08" TargetMode="External"/><Relationship Id="rId28" Type="http://schemas.openxmlformats.org/officeDocument/2006/relationships/hyperlink" Target="https://ec.europa.eu/eurostat/databrowser/view/tgs00101/default/table?lang=en" TargetMode="External"/><Relationship Id="rId36" Type="http://schemas.openxmlformats.org/officeDocument/2006/relationships/hyperlink" Target="https://www.ksh.hu/stadat_files/ksp/hu/ksp0021.html" TargetMode="External"/><Relationship Id="rId49" Type="http://schemas.openxmlformats.org/officeDocument/2006/relationships/hyperlink" Target="https://ec.europa.eu/assets/rtd/ris/2025/ec_rtd_ris-regional-profile-hu.pdf" TargetMode="External"/><Relationship Id="rId57" Type="http://schemas.openxmlformats.org/officeDocument/2006/relationships/hyperlink" Target="https://www.ksh.hu/stadat_files/kor/hu/kor0046.html" TargetMode="External"/><Relationship Id="rId10" Type="http://schemas.openxmlformats.org/officeDocument/2006/relationships/hyperlink" Target="https://statinfo.ksh.hu/Statinfo/QueryServlet?ha=SL1A02" TargetMode="External"/><Relationship Id="rId31" Type="http://schemas.openxmlformats.org/officeDocument/2006/relationships/hyperlink" Target="https://www.ksh.hu/stadat_files/ksp/hu/ksp0021.html" TargetMode="External"/><Relationship Id="rId44" Type="http://schemas.openxmlformats.org/officeDocument/2006/relationships/hyperlink" Target="https://ec.europa.eu/eurostat/databrowser/view/tgs00010/default/table?lang=en" TargetMode="External"/><Relationship Id="rId52" Type="http://schemas.openxmlformats.org/officeDocument/2006/relationships/hyperlink" Target="https://ec.europa.eu/assets/rtd/ris/2025/ec_rtd_ris-regional-profile-hu.pdf" TargetMode="External"/><Relationship Id="rId60" Type="http://schemas.openxmlformats.org/officeDocument/2006/relationships/hyperlink" Target="https://www.ksh.hu/stadat_files/ksp/hu/ksp0019.html" TargetMode="External"/><Relationship Id="rId65" Type="http://schemas.openxmlformats.org/officeDocument/2006/relationships/hyperlink" Target="https://ec.europa.eu/eurostat/databrowser/view/EDAT_LFSE_16/default/table?lang=en" TargetMode="External"/><Relationship Id="rId73" Type="http://schemas.openxmlformats.org/officeDocument/2006/relationships/hyperlink" Target="https://statinfo.ksh.hu/Statinfo/QueryServlet?ha=UR2S10" TargetMode="External"/><Relationship Id="rId78" Type="http://schemas.openxmlformats.org/officeDocument/2006/relationships/hyperlink" Target="https://www.ksh.hu/stadat_files/sza/hu/sza0021.html" TargetMode="External"/><Relationship Id="rId81" Type="http://schemas.openxmlformats.org/officeDocument/2006/relationships/hyperlink" Target="https://statinfo.ksh.hu/Statinfo/QueryServlet?ha=UR2S05" TargetMode="External"/><Relationship Id="rId4" Type="http://schemas.openxmlformats.org/officeDocument/2006/relationships/hyperlink" Target="https://www.ksh.hu/stadat_files/ksp/hu/ksp0020.html" TargetMode="External"/><Relationship Id="rId9" Type="http://schemas.openxmlformats.org/officeDocument/2006/relationships/hyperlink" Target="https://statinfo.ksh.hu/Statinfo/QueryServlet?ha=UR2S03" TargetMode="External"/><Relationship Id="rId13" Type="http://schemas.openxmlformats.org/officeDocument/2006/relationships/hyperlink" Target="https://ec.europa.eu/assets/rtd/ris/2025/ec_rtd_ris-regional-profile-hu.pdf" TargetMode="External"/><Relationship Id="rId18" Type="http://schemas.openxmlformats.org/officeDocument/2006/relationships/hyperlink" Target="https://ec.europa.eu/assets/rtd/ris/2025/ec_rtd_ris-regional-profile-hu.pdf" TargetMode="External"/><Relationship Id="rId39" Type="http://schemas.openxmlformats.org/officeDocument/2006/relationships/hyperlink" Target="https://www.ksh.hu/stadat_files/tte/hu/tte0023.html" TargetMode="External"/><Relationship Id="rId34" Type="http://schemas.openxmlformats.org/officeDocument/2006/relationships/hyperlink" Target="https://www.ksh.hu/stadat_files/ksp/hu/ksp0021.html" TargetMode="External"/><Relationship Id="rId50" Type="http://schemas.openxmlformats.org/officeDocument/2006/relationships/hyperlink" Target="https://ec.europa.eu/assets/rtd/ris/2025/ec_rtd_ris-regional-profile-hu.pdf" TargetMode="External"/><Relationship Id="rId55" Type="http://schemas.openxmlformats.org/officeDocument/2006/relationships/hyperlink" Target="https://www.ksh.hu/stadat_files/okt/hu/okt0031.html" TargetMode="External"/><Relationship Id="rId76" Type="http://schemas.openxmlformats.org/officeDocument/2006/relationships/hyperlink" Target="https://www.oktatas.hu/kozneveles/meresek/orszagos_meresek_eredmenyei_2025/terkepes_attekintes_2025" TargetMode="External"/><Relationship Id="rId7" Type="http://schemas.openxmlformats.org/officeDocument/2006/relationships/hyperlink" Target="https://ec.europa.eu/eurostat/databrowser/view/tgs00108/default/table?lang=en" TargetMode="External"/><Relationship Id="rId71" Type="http://schemas.openxmlformats.org/officeDocument/2006/relationships/hyperlink" Target="https://ec.europa.eu/assets/rtd/ris/2025/ec_rtd_ris-regional-profile-hu.pdf" TargetMode="External"/><Relationship Id="rId2" Type="http://schemas.openxmlformats.org/officeDocument/2006/relationships/hyperlink" Target="https://www.ksh.hu/stadat_files/tte/hu/tte0022.html" TargetMode="External"/><Relationship Id="rId29" Type="http://schemas.openxmlformats.org/officeDocument/2006/relationships/hyperlink" Target="https://ec.europa.eu/eurostat/databrowser/view/hlth_hlye/default/table?lang=en" TargetMode="External"/><Relationship Id="rId24" Type="http://schemas.openxmlformats.org/officeDocument/2006/relationships/hyperlink" Target="https://statinfo.ksh.hu/Statinfo/QueryServlet?ha=NT6C01" TargetMode="External"/><Relationship Id="rId40" Type="http://schemas.openxmlformats.org/officeDocument/2006/relationships/hyperlink" Target="https://www.ksh.hu/stadat_files/tte/hu/tte0023.html" TargetMode="External"/><Relationship Id="rId45" Type="http://schemas.openxmlformats.org/officeDocument/2006/relationships/hyperlink" Target="https://ec.europa.eu/assets/rtd/ris/2025/ec_rtd_ris-regional-profile-hu.pdf" TargetMode="External"/><Relationship Id="rId66" Type="http://schemas.openxmlformats.org/officeDocument/2006/relationships/hyperlink" Target="https://ec.europa.eu/eurostat/databrowser/view/tgs00038/default/table?lang=en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B9472C-DE65-404D-9B55-BCC3D3735E8E}">
  <dimension ref="A1:G159"/>
  <sheetViews>
    <sheetView tabSelected="1" topLeftCell="A130" zoomScaleNormal="100" workbookViewId="0">
      <selection activeCell="A150" sqref="A150"/>
    </sheetView>
  </sheetViews>
  <sheetFormatPr defaultRowHeight="14.25" x14ac:dyDescent="0.45"/>
  <cols>
    <col min="1" max="1" width="87.1328125" bestFit="1" customWidth="1"/>
    <col min="2" max="2" width="18.1328125" bestFit="1" customWidth="1"/>
    <col min="3" max="3" width="39.796875" customWidth="1"/>
    <col min="4" max="4" width="9.796875" bestFit="1" customWidth="1"/>
    <col min="5" max="5" width="11.1328125" bestFit="1" customWidth="1"/>
    <col min="6" max="6" width="9.3984375" bestFit="1" customWidth="1"/>
    <col min="7" max="7" width="62.3984375" bestFit="1" customWidth="1"/>
    <col min="8" max="8" width="21.3984375" bestFit="1" customWidth="1"/>
    <col min="11" max="11" width="13.59765625" bestFit="1" customWidth="1"/>
  </cols>
  <sheetData>
    <row r="1" spans="1:7" x14ac:dyDescent="0.4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</row>
    <row r="2" spans="1:7" x14ac:dyDescent="0.45">
      <c r="A2" t="s">
        <v>7</v>
      </c>
      <c r="B2" t="s">
        <v>8</v>
      </c>
      <c r="C2" t="s">
        <v>9</v>
      </c>
      <c r="D2" t="s">
        <v>10</v>
      </c>
      <c r="F2">
        <v>0.66</v>
      </c>
    </row>
    <row r="3" spans="1:7" x14ac:dyDescent="0.45">
      <c r="A3" t="s">
        <v>11</v>
      </c>
      <c r="B3" t="s">
        <v>8</v>
      </c>
      <c r="C3" t="s">
        <v>12</v>
      </c>
      <c r="D3" t="s">
        <v>10</v>
      </c>
      <c r="F3">
        <v>0.66</v>
      </c>
    </row>
    <row r="4" spans="1:7" x14ac:dyDescent="0.45">
      <c r="A4" t="s">
        <v>13</v>
      </c>
      <c r="B4" t="s">
        <v>8</v>
      </c>
      <c r="C4" t="s">
        <v>14</v>
      </c>
      <c r="D4" t="s">
        <v>10</v>
      </c>
      <c r="F4">
        <v>1</v>
      </c>
    </row>
    <row r="5" spans="1:7" x14ac:dyDescent="0.45">
      <c r="A5" t="s">
        <v>15</v>
      </c>
      <c r="B5" t="s">
        <v>8</v>
      </c>
      <c r="C5" t="s">
        <v>16</v>
      </c>
      <c r="D5" t="s">
        <v>17</v>
      </c>
      <c r="E5">
        <v>1</v>
      </c>
      <c r="F5">
        <v>1</v>
      </c>
    </row>
    <row r="6" spans="1:7" x14ac:dyDescent="0.45">
      <c r="A6" t="s">
        <v>18</v>
      </c>
      <c r="B6" t="s">
        <v>8</v>
      </c>
      <c r="C6" t="s">
        <v>16</v>
      </c>
      <c r="D6" t="s">
        <v>17</v>
      </c>
      <c r="E6">
        <v>1</v>
      </c>
      <c r="F6">
        <v>1</v>
      </c>
    </row>
    <row r="7" spans="1:7" x14ac:dyDescent="0.45">
      <c r="A7" t="s">
        <v>19</v>
      </c>
      <c r="B7" t="s">
        <v>8</v>
      </c>
      <c r="C7" t="s">
        <v>16</v>
      </c>
      <c r="D7" t="s">
        <v>10</v>
      </c>
      <c r="E7">
        <v>1</v>
      </c>
      <c r="F7">
        <v>1</v>
      </c>
      <c r="G7" t="s">
        <v>355</v>
      </c>
    </row>
    <row r="8" spans="1:7" x14ac:dyDescent="0.45">
      <c r="A8" t="s">
        <v>20</v>
      </c>
      <c r="B8" t="s">
        <v>8</v>
      </c>
      <c r="C8" t="s">
        <v>16</v>
      </c>
      <c r="D8" t="s">
        <v>10</v>
      </c>
      <c r="E8">
        <v>0.66</v>
      </c>
      <c r="F8">
        <v>0.66</v>
      </c>
      <c r="G8" s="10" t="s">
        <v>21</v>
      </c>
    </row>
    <row r="9" spans="1:7" x14ac:dyDescent="0.45">
      <c r="A9" t="s">
        <v>22</v>
      </c>
      <c r="B9" t="s">
        <v>8</v>
      </c>
      <c r="C9" t="s">
        <v>16</v>
      </c>
      <c r="D9" t="s">
        <v>10</v>
      </c>
      <c r="E9">
        <v>0.66</v>
      </c>
      <c r="F9">
        <v>0.66</v>
      </c>
      <c r="G9" s="10" t="s">
        <v>23</v>
      </c>
    </row>
    <row r="10" spans="1:7" x14ac:dyDescent="0.45">
      <c r="A10" t="s">
        <v>24</v>
      </c>
      <c r="B10" t="s">
        <v>8</v>
      </c>
      <c r="C10" t="s">
        <v>16</v>
      </c>
      <c r="D10" t="s">
        <v>10</v>
      </c>
      <c r="E10">
        <v>0.66</v>
      </c>
      <c r="F10">
        <v>0.66</v>
      </c>
      <c r="G10" s="10" t="s">
        <v>25</v>
      </c>
    </row>
    <row r="11" spans="1:7" x14ac:dyDescent="0.45">
      <c r="A11" t="s">
        <v>26</v>
      </c>
      <c r="B11" t="s">
        <v>8</v>
      </c>
      <c r="C11" s="16" t="s">
        <v>267</v>
      </c>
      <c r="D11" t="s">
        <v>10</v>
      </c>
      <c r="E11">
        <v>0.66</v>
      </c>
      <c r="F11">
        <v>0.66</v>
      </c>
    </row>
    <row r="12" spans="1:7" x14ac:dyDescent="0.45">
      <c r="A12" t="s">
        <v>27</v>
      </c>
      <c r="B12" t="s">
        <v>8</v>
      </c>
      <c r="C12" s="5" t="s">
        <v>28</v>
      </c>
      <c r="D12" t="s">
        <v>10</v>
      </c>
      <c r="E12">
        <v>0.66</v>
      </c>
      <c r="F12">
        <v>0.66</v>
      </c>
    </row>
    <row r="13" spans="1:7" x14ac:dyDescent="0.45">
      <c r="A13" t="s">
        <v>29</v>
      </c>
      <c r="B13" t="s">
        <v>8</v>
      </c>
      <c r="C13" s="11" t="s">
        <v>30</v>
      </c>
      <c r="D13" t="s">
        <v>17</v>
      </c>
      <c r="E13">
        <v>0.66</v>
      </c>
      <c r="F13">
        <v>0.66</v>
      </c>
      <c r="G13" s="10" t="s">
        <v>31</v>
      </c>
    </row>
    <row r="14" spans="1:7" x14ac:dyDescent="0.45">
      <c r="A14" t="s">
        <v>32</v>
      </c>
      <c r="B14" t="s">
        <v>8</v>
      </c>
      <c r="C14" s="6" t="s">
        <v>33</v>
      </c>
      <c r="D14" t="s">
        <v>17</v>
      </c>
      <c r="E14">
        <v>1</v>
      </c>
      <c r="F14">
        <v>1</v>
      </c>
      <c r="G14" t="s">
        <v>34</v>
      </c>
    </row>
    <row r="15" spans="1:7" x14ac:dyDescent="0.45">
      <c r="A15" t="s">
        <v>35</v>
      </c>
      <c r="B15" t="s">
        <v>8</v>
      </c>
      <c r="C15" s="8" t="s">
        <v>36</v>
      </c>
      <c r="D15" t="s">
        <v>17</v>
      </c>
      <c r="E15">
        <v>1</v>
      </c>
      <c r="F15">
        <v>1</v>
      </c>
      <c r="G15" t="s">
        <v>34</v>
      </c>
    </row>
    <row r="16" spans="1:7" x14ac:dyDescent="0.45">
      <c r="A16" t="s">
        <v>37</v>
      </c>
      <c r="B16" t="s">
        <v>8</v>
      </c>
      <c r="C16" t="s">
        <v>16</v>
      </c>
      <c r="D16" t="s">
        <v>10</v>
      </c>
      <c r="E16">
        <v>0.66</v>
      </c>
      <c r="F16">
        <v>0.66</v>
      </c>
    </row>
    <row r="17" spans="1:7" x14ac:dyDescent="0.45">
      <c r="A17" t="s">
        <v>38</v>
      </c>
      <c r="B17" t="s">
        <v>8</v>
      </c>
      <c r="C17" s="3" t="s">
        <v>39</v>
      </c>
      <c r="D17" t="s">
        <v>10</v>
      </c>
      <c r="E17">
        <v>1</v>
      </c>
      <c r="F17">
        <v>1</v>
      </c>
    </row>
    <row r="18" spans="1:7" x14ac:dyDescent="0.45">
      <c r="A18" t="s">
        <v>40</v>
      </c>
      <c r="B18" t="s">
        <v>8</v>
      </c>
      <c r="C18" s="5" t="s">
        <v>41</v>
      </c>
      <c r="D18" t="s">
        <v>17</v>
      </c>
      <c r="E18">
        <v>0.66</v>
      </c>
      <c r="F18">
        <v>0.66</v>
      </c>
      <c r="G18" t="s">
        <v>42</v>
      </c>
    </row>
    <row r="19" spans="1:7" x14ac:dyDescent="0.45">
      <c r="A19" t="s">
        <v>43</v>
      </c>
      <c r="B19" t="s">
        <v>8</v>
      </c>
      <c r="C19" s="4" t="s">
        <v>41</v>
      </c>
      <c r="D19" t="s">
        <v>17</v>
      </c>
      <c r="E19">
        <v>0.66</v>
      </c>
      <c r="F19">
        <v>0.66</v>
      </c>
    </row>
    <row r="20" spans="1:7" x14ac:dyDescent="0.45">
      <c r="A20" t="s">
        <v>44</v>
      </c>
      <c r="B20" t="s">
        <v>8</v>
      </c>
      <c r="C20" s="4" t="s">
        <v>41</v>
      </c>
      <c r="D20" t="s">
        <v>17</v>
      </c>
      <c r="E20">
        <v>0.66</v>
      </c>
      <c r="F20">
        <v>0.66</v>
      </c>
    </row>
    <row r="21" spans="1:7" x14ac:dyDescent="0.45">
      <c r="A21" t="s">
        <v>45</v>
      </c>
      <c r="B21" t="s">
        <v>8</v>
      </c>
      <c r="C21" s="4" t="s">
        <v>41</v>
      </c>
      <c r="D21" t="s">
        <v>17</v>
      </c>
      <c r="E21">
        <v>0.66</v>
      </c>
      <c r="F21">
        <v>0.66</v>
      </c>
    </row>
    <row r="22" spans="1:7" x14ac:dyDescent="0.45">
      <c r="A22" t="s">
        <v>46</v>
      </c>
      <c r="B22" t="s">
        <v>8</v>
      </c>
      <c r="C22" s="4" t="s">
        <v>41</v>
      </c>
      <c r="D22" t="s">
        <v>17</v>
      </c>
      <c r="E22">
        <v>0.66</v>
      </c>
      <c r="F22">
        <v>0.66</v>
      </c>
    </row>
    <row r="23" spans="1:7" x14ac:dyDescent="0.45">
      <c r="A23" t="s">
        <v>47</v>
      </c>
      <c r="B23" t="s">
        <v>8</v>
      </c>
      <c r="C23" s="4" t="s">
        <v>41</v>
      </c>
      <c r="D23" t="s">
        <v>17</v>
      </c>
      <c r="E23">
        <v>0.66</v>
      </c>
      <c r="F23">
        <v>0.66</v>
      </c>
    </row>
    <row r="24" spans="1:7" x14ac:dyDescent="0.45">
      <c r="A24" t="s">
        <v>48</v>
      </c>
      <c r="B24" t="s">
        <v>8</v>
      </c>
      <c r="C24" s="4" t="s">
        <v>41</v>
      </c>
      <c r="D24" t="s">
        <v>17</v>
      </c>
      <c r="E24">
        <v>0.66</v>
      </c>
      <c r="F24">
        <v>0.66</v>
      </c>
    </row>
    <row r="25" spans="1:7" x14ac:dyDescent="0.45">
      <c r="A25" t="s">
        <v>49</v>
      </c>
      <c r="B25" t="s">
        <v>8</v>
      </c>
      <c r="C25" s="4" t="s">
        <v>41</v>
      </c>
      <c r="D25" t="s">
        <v>17</v>
      </c>
      <c r="E25">
        <v>0.66</v>
      </c>
      <c r="F25">
        <v>0.66</v>
      </c>
    </row>
    <row r="26" spans="1:7" x14ac:dyDescent="0.45">
      <c r="A26" t="s">
        <v>50</v>
      </c>
      <c r="B26" t="s">
        <v>8</v>
      </c>
      <c r="C26" s="4" t="s">
        <v>51</v>
      </c>
      <c r="D26" t="s">
        <v>17</v>
      </c>
      <c r="E26">
        <v>0.66</v>
      </c>
      <c r="F26">
        <v>0.66</v>
      </c>
    </row>
    <row r="27" spans="1:7" x14ac:dyDescent="0.45">
      <c r="A27" t="s">
        <v>52</v>
      </c>
      <c r="B27" t="s">
        <v>8</v>
      </c>
      <c r="C27" s="4" t="s">
        <v>53</v>
      </c>
      <c r="D27" t="s">
        <v>17</v>
      </c>
      <c r="E27">
        <v>0.66</v>
      </c>
      <c r="F27">
        <v>0.66</v>
      </c>
    </row>
    <row r="28" spans="1:7" x14ac:dyDescent="0.45">
      <c r="A28" t="s">
        <v>54</v>
      </c>
      <c r="B28" t="s">
        <v>8</v>
      </c>
      <c r="C28" t="s">
        <v>55</v>
      </c>
      <c r="D28" t="s">
        <v>17</v>
      </c>
      <c r="E28">
        <v>1</v>
      </c>
      <c r="F28">
        <v>1</v>
      </c>
      <c r="G28" t="s">
        <v>56</v>
      </c>
    </row>
    <row r="29" spans="1:7" x14ac:dyDescent="0.45">
      <c r="A29" t="s">
        <v>57</v>
      </c>
      <c r="B29" t="s">
        <v>8</v>
      </c>
      <c r="C29" s="4" t="s">
        <v>55</v>
      </c>
      <c r="D29" t="s">
        <v>17</v>
      </c>
      <c r="E29">
        <v>1</v>
      </c>
      <c r="F29">
        <v>1</v>
      </c>
      <c r="G29" t="s">
        <v>56</v>
      </c>
    </row>
    <row r="30" spans="1:7" x14ac:dyDescent="0.45">
      <c r="A30" t="s">
        <v>58</v>
      </c>
      <c r="B30" t="s">
        <v>8</v>
      </c>
      <c r="C30" s="4" t="s">
        <v>55</v>
      </c>
      <c r="D30" t="s">
        <v>17</v>
      </c>
      <c r="E30">
        <v>1</v>
      </c>
      <c r="F30">
        <v>1</v>
      </c>
      <c r="G30" t="s">
        <v>56</v>
      </c>
    </row>
    <row r="31" spans="1:7" x14ac:dyDescent="0.45">
      <c r="A31" t="s">
        <v>59</v>
      </c>
      <c r="B31" t="s">
        <v>8</v>
      </c>
      <c r="C31" s="12" t="s">
        <v>60</v>
      </c>
      <c r="D31" t="s">
        <v>10</v>
      </c>
      <c r="E31">
        <v>0.66</v>
      </c>
      <c r="F31">
        <v>0.66</v>
      </c>
    </row>
    <row r="32" spans="1:7" x14ac:dyDescent="0.45">
      <c r="A32" t="s">
        <v>61</v>
      </c>
      <c r="B32" t="s">
        <v>8</v>
      </c>
      <c r="C32" s="6" t="s">
        <v>62</v>
      </c>
      <c r="D32" t="s">
        <v>10</v>
      </c>
      <c r="E32">
        <v>1</v>
      </c>
      <c r="F32">
        <v>1</v>
      </c>
      <c r="G32" t="s">
        <v>63</v>
      </c>
    </row>
    <row r="33" spans="1:6" x14ac:dyDescent="0.45">
      <c r="A33" t="s">
        <v>64</v>
      </c>
      <c r="B33" t="s">
        <v>65</v>
      </c>
      <c r="C33" t="s">
        <v>16</v>
      </c>
      <c r="D33" t="s">
        <v>17</v>
      </c>
      <c r="E33">
        <v>0.66</v>
      </c>
      <c r="F33">
        <v>0.66</v>
      </c>
    </row>
    <row r="34" spans="1:6" x14ac:dyDescent="0.45">
      <c r="A34" t="s">
        <v>66</v>
      </c>
      <c r="B34" t="s">
        <v>65</v>
      </c>
      <c r="C34" t="s">
        <v>16</v>
      </c>
      <c r="D34" t="s">
        <v>17</v>
      </c>
      <c r="E34">
        <v>0.66</v>
      </c>
      <c r="F34">
        <v>0.66</v>
      </c>
    </row>
    <row r="35" spans="1:6" x14ac:dyDescent="0.45">
      <c r="A35" t="s">
        <v>67</v>
      </c>
      <c r="B35" t="s">
        <v>65</v>
      </c>
      <c r="C35" t="s">
        <v>16</v>
      </c>
      <c r="D35" t="s">
        <v>17</v>
      </c>
      <c r="E35">
        <v>0.66</v>
      </c>
      <c r="F35">
        <v>0.66</v>
      </c>
    </row>
    <row r="36" spans="1:6" x14ac:dyDescent="0.45">
      <c r="A36" t="s">
        <v>68</v>
      </c>
      <c r="B36" t="s">
        <v>65</v>
      </c>
      <c r="C36" t="s">
        <v>16</v>
      </c>
      <c r="D36" t="s">
        <v>17</v>
      </c>
      <c r="E36">
        <v>1</v>
      </c>
      <c r="F36">
        <v>1</v>
      </c>
    </row>
    <row r="37" spans="1:6" x14ac:dyDescent="0.45">
      <c r="A37" t="s">
        <v>69</v>
      </c>
      <c r="B37" t="s">
        <v>65</v>
      </c>
      <c r="C37" t="s">
        <v>16</v>
      </c>
      <c r="D37" t="s">
        <v>17</v>
      </c>
      <c r="E37">
        <v>1</v>
      </c>
      <c r="F37">
        <v>1</v>
      </c>
    </row>
    <row r="38" spans="1:6" x14ac:dyDescent="0.45">
      <c r="A38" t="s">
        <v>70</v>
      </c>
      <c r="B38" t="s">
        <v>65</v>
      </c>
      <c r="C38" t="s">
        <v>16</v>
      </c>
      <c r="D38" t="s">
        <v>17</v>
      </c>
      <c r="E38">
        <v>1</v>
      </c>
      <c r="F38">
        <v>1</v>
      </c>
    </row>
    <row r="39" spans="1:6" x14ac:dyDescent="0.45">
      <c r="A39" t="s">
        <v>71</v>
      </c>
      <c r="B39" t="s">
        <v>65</v>
      </c>
      <c r="C39" t="s">
        <v>16</v>
      </c>
      <c r="D39" t="s">
        <v>17</v>
      </c>
      <c r="E39">
        <v>1</v>
      </c>
      <c r="F39">
        <v>1</v>
      </c>
    </row>
    <row r="40" spans="1:6" x14ac:dyDescent="0.45">
      <c r="A40" t="s">
        <v>72</v>
      </c>
      <c r="B40" t="s">
        <v>65</v>
      </c>
      <c r="C40" t="s">
        <v>16</v>
      </c>
      <c r="D40" t="s">
        <v>17</v>
      </c>
      <c r="E40">
        <v>1</v>
      </c>
      <c r="F40">
        <v>1</v>
      </c>
    </row>
    <row r="41" spans="1:6" x14ac:dyDescent="0.45">
      <c r="A41" t="s">
        <v>73</v>
      </c>
      <c r="B41" t="s">
        <v>65</v>
      </c>
      <c r="C41" t="s">
        <v>16</v>
      </c>
      <c r="D41" t="s">
        <v>17</v>
      </c>
      <c r="E41">
        <v>1</v>
      </c>
      <c r="F41">
        <v>1</v>
      </c>
    </row>
    <row r="42" spans="1:6" x14ac:dyDescent="0.45">
      <c r="A42" t="s">
        <v>74</v>
      </c>
      <c r="B42" t="s">
        <v>65</v>
      </c>
      <c r="C42" t="s">
        <v>16</v>
      </c>
      <c r="D42" t="s">
        <v>17</v>
      </c>
      <c r="E42">
        <v>1</v>
      </c>
      <c r="F42">
        <v>1</v>
      </c>
    </row>
    <row r="43" spans="1:6" x14ac:dyDescent="0.45">
      <c r="A43" t="s">
        <v>75</v>
      </c>
      <c r="B43" t="s">
        <v>65</v>
      </c>
      <c r="C43" t="s">
        <v>16</v>
      </c>
      <c r="D43" s="7" t="s">
        <v>17</v>
      </c>
      <c r="E43">
        <v>1</v>
      </c>
      <c r="F43">
        <v>1</v>
      </c>
    </row>
    <row r="44" spans="1:6" x14ac:dyDescent="0.45">
      <c r="A44" t="s">
        <v>76</v>
      </c>
      <c r="B44" t="s">
        <v>65</v>
      </c>
      <c r="C44" s="3" t="s">
        <v>77</v>
      </c>
      <c r="D44" t="s">
        <v>17</v>
      </c>
      <c r="E44">
        <v>1</v>
      </c>
      <c r="F44">
        <v>1</v>
      </c>
    </row>
    <row r="45" spans="1:6" x14ac:dyDescent="0.45">
      <c r="A45" t="s">
        <v>78</v>
      </c>
      <c r="B45" t="s">
        <v>65</v>
      </c>
      <c r="C45" s="4" t="s">
        <v>79</v>
      </c>
      <c r="D45" t="s">
        <v>17</v>
      </c>
      <c r="E45">
        <v>1</v>
      </c>
      <c r="F45">
        <v>1</v>
      </c>
    </row>
    <row r="46" spans="1:6" x14ac:dyDescent="0.45">
      <c r="A46" t="s">
        <v>80</v>
      </c>
      <c r="B46" t="s">
        <v>65</v>
      </c>
      <c r="C46" s="4" t="s">
        <v>79</v>
      </c>
      <c r="D46" t="s">
        <v>17</v>
      </c>
      <c r="E46">
        <v>1</v>
      </c>
      <c r="F46">
        <v>1</v>
      </c>
    </row>
    <row r="47" spans="1:6" x14ac:dyDescent="0.45">
      <c r="A47" t="s">
        <v>81</v>
      </c>
      <c r="B47" t="s">
        <v>65</v>
      </c>
      <c r="C47" s="4" t="s">
        <v>82</v>
      </c>
      <c r="D47" t="s">
        <v>17</v>
      </c>
      <c r="E47">
        <v>1</v>
      </c>
      <c r="F47">
        <v>1</v>
      </c>
    </row>
    <row r="48" spans="1:6" x14ac:dyDescent="0.45">
      <c r="A48" t="s">
        <v>83</v>
      </c>
      <c r="B48" t="s">
        <v>65</v>
      </c>
      <c r="C48" s="11" t="s">
        <v>84</v>
      </c>
      <c r="D48" t="s">
        <v>17</v>
      </c>
      <c r="E48">
        <v>1</v>
      </c>
      <c r="F48">
        <v>1</v>
      </c>
    </row>
    <row r="49" spans="1:7" x14ac:dyDescent="0.45">
      <c r="A49" t="s">
        <v>356</v>
      </c>
      <c r="B49" t="s">
        <v>65</v>
      </c>
      <c r="C49" s="12" t="s">
        <v>85</v>
      </c>
      <c r="D49" t="s">
        <v>17</v>
      </c>
      <c r="E49">
        <v>1</v>
      </c>
      <c r="F49">
        <v>0</v>
      </c>
    </row>
    <row r="50" spans="1:7" x14ac:dyDescent="0.45">
      <c r="A50" t="s">
        <v>86</v>
      </c>
      <c r="B50" t="s">
        <v>65</v>
      </c>
      <c r="C50" t="s">
        <v>55</v>
      </c>
      <c r="D50" t="s">
        <v>17</v>
      </c>
      <c r="E50">
        <v>0.66</v>
      </c>
      <c r="F50">
        <v>0.66</v>
      </c>
      <c r="G50" t="s">
        <v>56</v>
      </c>
    </row>
    <row r="51" spans="1:7" x14ac:dyDescent="0.45">
      <c r="A51" t="s">
        <v>87</v>
      </c>
      <c r="B51" t="s">
        <v>65</v>
      </c>
      <c r="C51" t="s">
        <v>55</v>
      </c>
      <c r="D51" t="s">
        <v>17</v>
      </c>
      <c r="E51">
        <v>0.66</v>
      </c>
      <c r="F51">
        <v>0.66</v>
      </c>
      <c r="G51" t="s">
        <v>56</v>
      </c>
    </row>
    <row r="52" spans="1:7" x14ac:dyDescent="0.45">
      <c r="A52" t="s">
        <v>88</v>
      </c>
      <c r="B52" t="s">
        <v>65</v>
      </c>
      <c r="C52" t="s">
        <v>55</v>
      </c>
      <c r="D52" t="s">
        <v>17</v>
      </c>
      <c r="E52">
        <v>1</v>
      </c>
      <c r="F52">
        <v>1</v>
      </c>
      <c r="G52" t="s">
        <v>56</v>
      </c>
    </row>
    <row r="53" spans="1:7" x14ac:dyDescent="0.45">
      <c r="A53" t="s">
        <v>89</v>
      </c>
      <c r="B53" t="s">
        <v>65</v>
      </c>
      <c r="C53" t="s">
        <v>55</v>
      </c>
      <c r="D53" t="s">
        <v>17</v>
      </c>
      <c r="E53">
        <v>1</v>
      </c>
      <c r="F53">
        <v>1</v>
      </c>
      <c r="G53" t="s">
        <v>56</v>
      </c>
    </row>
    <row r="54" spans="1:7" x14ac:dyDescent="0.45">
      <c r="A54" t="s">
        <v>90</v>
      </c>
      <c r="B54" t="s">
        <v>65</v>
      </c>
      <c r="C54" s="11" t="s">
        <v>91</v>
      </c>
      <c r="E54">
        <v>1</v>
      </c>
      <c r="F54">
        <v>1</v>
      </c>
    </row>
    <row r="55" spans="1:7" x14ac:dyDescent="0.45">
      <c r="A55" t="s">
        <v>277</v>
      </c>
      <c r="B55" t="s">
        <v>65</v>
      </c>
      <c r="C55" t="s">
        <v>85</v>
      </c>
      <c r="E55">
        <v>1</v>
      </c>
      <c r="F55">
        <v>1</v>
      </c>
    </row>
    <row r="56" spans="1:7" x14ac:dyDescent="0.45">
      <c r="A56" t="s">
        <v>92</v>
      </c>
      <c r="B56" t="s">
        <v>65</v>
      </c>
      <c r="C56" t="s">
        <v>93</v>
      </c>
      <c r="D56" t="s">
        <v>17</v>
      </c>
      <c r="E56">
        <v>1</v>
      </c>
      <c r="F56">
        <v>1</v>
      </c>
      <c r="G56" t="s">
        <v>94</v>
      </c>
    </row>
    <row r="57" spans="1:7" x14ac:dyDescent="0.45">
      <c r="A57" t="s">
        <v>95</v>
      </c>
      <c r="B57" t="s">
        <v>65</v>
      </c>
      <c r="C57" t="s">
        <v>96</v>
      </c>
      <c r="D57" t="s">
        <v>10</v>
      </c>
      <c r="E57">
        <v>1</v>
      </c>
      <c r="F57">
        <v>1</v>
      </c>
      <c r="G57" t="s">
        <v>97</v>
      </c>
    </row>
    <row r="58" spans="1:7" x14ac:dyDescent="0.45">
      <c r="A58" t="s">
        <v>279</v>
      </c>
      <c r="B58" t="s">
        <v>65</v>
      </c>
      <c r="C58" s="8" t="s">
        <v>98</v>
      </c>
      <c r="D58" t="s">
        <v>10</v>
      </c>
      <c r="F58">
        <v>1</v>
      </c>
      <c r="G58" s="8"/>
    </row>
    <row r="59" spans="1:7" x14ac:dyDescent="0.45">
      <c r="A59" t="s">
        <v>99</v>
      </c>
      <c r="B59" t="s">
        <v>65</v>
      </c>
      <c r="C59" t="s">
        <v>100</v>
      </c>
      <c r="D59" t="s">
        <v>17</v>
      </c>
      <c r="F59">
        <v>0.66</v>
      </c>
      <c r="G59" t="s">
        <v>101</v>
      </c>
    </row>
    <row r="60" spans="1:7" x14ac:dyDescent="0.45">
      <c r="A60" t="s">
        <v>102</v>
      </c>
      <c r="B60" t="s">
        <v>65</v>
      </c>
      <c r="C60" t="s">
        <v>100</v>
      </c>
      <c r="D60" t="s">
        <v>17</v>
      </c>
      <c r="F60">
        <v>0.66</v>
      </c>
      <c r="G60" t="s">
        <v>101</v>
      </c>
    </row>
    <row r="61" spans="1:7" x14ac:dyDescent="0.45">
      <c r="A61" t="s">
        <v>103</v>
      </c>
      <c r="B61" t="s">
        <v>65</v>
      </c>
      <c r="C61" t="s">
        <v>100</v>
      </c>
      <c r="D61" t="s">
        <v>17</v>
      </c>
      <c r="F61">
        <v>0.66</v>
      </c>
      <c r="G61" t="s">
        <v>101</v>
      </c>
    </row>
    <row r="62" spans="1:7" x14ac:dyDescent="0.45">
      <c r="A62" t="s">
        <v>104</v>
      </c>
      <c r="B62" t="s">
        <v>65</v>
      </c>
      <c r="C62" t="s">
        <v>100</v>
      </c>
      <c r="D62" t="s">
        <v>17</v>
      </c>
      <c r="F62">
        <v>0.66</v>
      </c>
      <c r="G62" t="s">
        <v>101</v>
      </c>
    </row>
    <row r="63" spans="1:7" x14ac:dyDescent="0.45">
      <c r="A63" t="s">
        <v>105</v>
      </c>
      <c r="B63" t="s">
        <v>65</v>
      </c>
      <c r="C63" t="s">
        <v>100</v>
      </c>
      <c r="D63" t="s">
        <v>17</v>
      </c>
      <c r="F63">
        <v>0.66</v>
      </c>
      <c r="G63" t="s">
        <v>101</v>
      </c>
    </row>
    <row r="64" spans="1:7" x14ac:dyDescent="0.45">
      <c r="A64" t="s">
        <v>106</v>
      </c>
      <c r="B64" t="s">
        <v>65</v>
      </c>
      <c r="C64" t="s">
        <v>100</v>
      </c>
      <c r="D64" t="s">
        <v>17</v>
      </c>
      <c r="F64">
        <v>0.66</v>
      </c>
      <c r="G64" t="s">
        <v>101</v>
      </c>
    </row>
    <row r="65" spans="1:7" x14ac:dyDescent="0.45">
      <c r="A65" t="s">
        <v>107</v>
      </c>
      <c r="B65" t="s">
        <v>65</v>
      </c>
      <c r="C65" t="s">
        <v>100</v>
      </c>
      <c r="D65" t="s">
        <v>17</v>
      </c>
      <c r="F65">
        <v>0.66</v>
      </c>
      <c r="G65" t="s">
        <v>101</v>
      </c>
    </row>
    <row r="66" spans="1:7" x14ac:dyDescent="0.45">
      <c r="A66" t="s">
        <v>108</v>
      </c>
      <c r="B66" t="s">
        <v>65</v>
      </c>
      <c r="C66" t="s">
        <v>100</v>
      </c>
      <c r="D66" t="s">
        <v>17</v>
      </c>
      <c r="F66">
        <v>0.66</v>
      </c>
      <c r="G66" t="s">
        <v>101</v>
      </c>
    </row>
    <row r="67" spans="1:7" x14ac:dyDescent="0.45">
      <c r="A67" t="s">
        <v>109</v>
      </c>
      <c r="B67" t="s">
        <v>65</v>
      </c>
      <c r="C67" t="s">
        <v>16</v>
      </c>
      <c r="D67" t="s">
        <v>17</v>
      </c>
      <c r="F67">
        <v>1</v>
      </c>
      <c r="G67" t="s">
        <v>110</v>
      </c>
    </row>
    <row r="68" spans="1:7" x14ac:dyDescent="0.45">
      <c r="A68" t="s">
        <v>111</v>
      </c>
      <c r="B68" t="s">
        <v>112</v>
      </c>
      <c r="C68" t="s">
        <v>16</v>
      </c>
      <c r="D68" t="s">
        <v>10</v>
      </c>
      <c r="E68">
        <v>0.66</v>
      </c>
      <c r="F68">
        <v>0.66</v>
      </c>
    </row>
    <row r="69" spans="1:7" x14ac:dyDescent="0.45">
      <c r="A69" t="s">
        <v>114</v>
      </c>
      <c r="B69" t="s">
        <v>112</v>
      </c>
      <c r="C69" t="s">
        <v>115</v>
      </c>
      <c r="D69" t="s">
        <v>17</v>
      </c>
      <c r="E69">
        <v>0.66</v>
      </c>
      <c r="F69">
        <v>0.66</v>
      </c>
      <c r="G69" t="s">
        <v>116</v>
      </c>
    </row>
    <row r="70" spans="1:7" x14ac:dyDescent="0.45">
      <c r="A70" t="s">
        <v>117</v>
      </c>
      <c r="B70" t="s">
        <v>112</v>
      </c>
      <c r="C70" t="s">
        <v>115</v>
      </c>
      <c r="D70" t="s">
        <v>17</v>
      </c>
      <c r="E70">
        <v>0.66</v>
      </c>
      <c r="F70">
        <v>0.66</v>
      </c>
      <c r="G70" t="s">
        <v>116</v>
      </c>
    </row>
    <row r="71" spans="1:7" x14ac:dyDescent="0.45">
      <c r="A71" t="s">
        <v>118</v>
      </c>
      <c r="B71" t="s">
        <v>112</v>
      </c>
      <c r="C71" t="s">
        <v>16</v>
      </c>
      <c r="D71" t="s">
        <v>17</v>
      </c>
      <c r="E71">
        <v>0.66</v>
      </c>
      <c r="F71">
        <v>0.66</v>
      </c>
      <c r="G71" t="s">
        <v>119</v>
      </c>
    </row>
    <row r="72" spans="1:7" x14ac:dyDescent="0.45">
      <c r="A72" t="s">
        <v>120</v>
      </c>
      <c r="B72" t="s">
        <v>112</v>
      </c>
      <c r="C72" s="11" t="s">
        <v>121</v>
      </c>
      <c r="D72" t="s">
        <v>17</v>
      </c>
      <c r="E72">
        <v>0.66</v>
      </c>
      <c r="F72">
        <v>0.66</v>
      </c>
      <c r="G72" t="s">
        <v>122</v>
      </c>
    </row>
    <row r="73" spans="1:7" x14ac:dyDescent="0.45">
      <c r="A73" t="s">
        <v>123</v>
      </c>
      <c r="B73" t="s">
        <v>112</v>
      </c>
      <c r="C73" t="s">
        <v>16</v>
      </c>
      <c r="D73" t="s">
        <v>10</v>
      </c>
      <c r="E73">
        <v>1</v>
      </c>
      <c r="F73">
        <v>1</v>
      </c>
    </row>
    <row r="74" spans="1:7" x14ac:dyDescent="0.45">
      <c r="A74" t="s">
        <v>124</v>
      </c>
      <c r="B74" t="s">
        <v>112</v>
      </c>
      <c r="C74" t="s">
        <v>16</v>
      </c>
      <c r="D74" t="s">
        <v>10</v>
      </c>
      <c r="E74">
        <v>1</v>
      </c>
      <c r="F74">
        <v>1</v>
      </c>
    </row>
    <row r="75" spans="1:7" x14ac:dyDescent="0.45">
      <c r="A75" t="s">
        <v>125</v>
      </c>
      <c r="B75" t="s">
        <v>112</v>
      </c>
      <c r="C75" s="4" t="s">
        <v>126</v>
      </c>
      <c r="D75" t="s">
        <v>10</v>
      </c>
      <c r="E75">
        <v>1</v>
      </c>
      <c r="F75">
        <v>1</v>
      </c>
    </row>
    <row r="76" spans="1:7" x14ac:dyDescent="0.45">
      <c r="A76" t="s">
        <v>127</v>
      </c>
      <c r="B76" t="s">
        <v>112</v>
      </c>
      <c r="C76" t="s">
        <v>55</v>
      </c>
      <c r="D76" t="s">
        <v>17</v>
      </c>
      <c r="E76">
        <v>1</v>
      </c>
      <c r="F76">
        <v>1</v>
      </c>
      <c r="G76" t="s">
        <v>56</v>
      </c>
    </row>
    <row r="77" spans="1:7" x14ac:dyDescent="0.45">
      <c r="A77" t="s">
        <v>128</v>
      </c>
      <c r="B77" t="s">
        <v>112</v>
      </c>
      <c r="C77" t="s">
        <v>55</v>
      </c>
      <c r="D77" t="s">
        <v>17</v>
      </c>
      <c r="E77">
        <v>1</v>
      </c>
      <c r="F77">
        <v>1</v>
      </c>
      <c r="G77" t="s">
        <v>56</v>
      </c>
    </row>
    <row r="78" spans="1:7" x14ac:dyDescent="0.45">
      <c r="A78" t="s">
        <v>129</v>
      </c>
      <c r="B78" t="s">
        <v>112</v>
      </c>
      <c r="C78" t="s">
        <v>55</v>
      </c>
      <c r="D78" t="s">
        <v>17</v>
      </c>
      <c r="E78">
        <v>1</v>
      </c>
      <c r="F78">
        <v>1</v>
      </c>
      <c r="G78" t="s">
        <v>56</v>
      </c>
    </row>
    <row r="79" spans="1:7" x14ac:dyDescent="0.45">
      <c r="A79" t="s">
        <v>130</v>
      </c>
      <c r="B79" t="s">
        <v>112</v>
      </c>
      <c r="C79" t="s">
        <v>55</v>
      </c>
      <c r="D79" t="s">
        <v>17</v>
      </c>
      <c r="E79">
        <v>1</v>
      </c>
      <c r="F79">
        <v>1</v>
      </c>
      <c r="G79" t="s">
        <v>56</v>
      </c>
    </row>
    <row r="80" spans="1:7" x14ac:dyDescent="0.45">
      <c r="A80" t="s">
        <v>131</v>
      </c>
      <c r="B80" t="s">
        <v>112</v>
      </c>
      <c r="C80" t="s">
        <v>55</v>
      </c>
      <c r="D80" t="s">
        <v>17</v>
      </c>
      <c r="E80">
        <v>1</v>
      </c>
      <c r="F80">
        <v>1</v>
      </c>
      <c r="G80" t="s">
        <v>56</v>
      </c>
    </row>
    <row r="81" spans="1:7" x14ac:dyDescent="0.45">
      <c r="A81" t="s">
        <v>132</v>
      </c>
      <c r="B81" t="s">
        <v>112</v>
      </c>
      <c r="C81" t="s">
        <v>55</v>
      </c>
      <c r="D81" t="s">
        <v>17</v>
      </c>
      <c r="E81">
        <v>1</v>
      </c>
      <c r="F81">
        <v>1</v>
      </c>
      <c r="G81" t="s">
        <v>56</v>
      </c>
    </row>
    <row r="82" spans="1:7" x14ac:dyDescent="0.45">
      <c r="A82" t="s">
        <v>133</v>
      </c>
      <c r="B82" t="s">
        <v>112</v>
      </c>
      <c r="C82" t="s">
        <v>55</v>
      </c>
      <c r="D82" t="s">
        <v>17</v>
      </c>
      <c r="E82">
        <v>1</v>
      </c>
      <c r="F82">
        <v>1</v>
      </c>
      <c r="G82" t="s">
        <v>56</v>
      </c>
    </row>
    <row r="83" spans="1:7" x14ac:dyDescent="0.45">
      <c r="A83" t="s">
        <v>134</v>
      </c>
      <c r="B83" t="s">
        <v>112</v>
      </c>
      <c r="C83" t="s">
        <v>55</v>
      </c>
      <c r="D83" t="s">
        <v>17</v>
      </c>
      <c r="E83">
        <v>1</v>
      </c>
      <c r="F83">
        <v>1</v>
      </c>
      <c r="G83" t="s">
        <v>56</v>
      </c>
    </row>
    <row r="84" spans="1:7" x14ac:dyDescent="0.45">
      <c r="A84" t="s">
        <v>135</v>
      </c>
      <c r="B84" t="s">
        <v>112</v>
      </c>
      <c r="C84" t="s">
        <v>55</v>
      </c>
      <c r="D84" t="s">
        <v>17</v>
      </c>
      <c r="E84">
        <v>1</v>
      </c>
      <c r="F84">
        <v>1</v>
      </c>
      <c r="G84" t="s">
        <v>56</v>
      </c>
    </row>
    <row r="85" spans="1:7" x14ac:dyDescent="0.45">
      <c r="A85" t="s">
        <v>136</v>
      </c>
      <c r="B85" t="s">
        <v>112</v>
      </c>
      <c r="C85" t="s">
        <v>137</v>
      </c>
      <c r="D85" t="s">
        <v>17</v>
      </c>
      <c r="E85">
        <v>1</v>
      </c>
      <c r="F85">
        <v>1</v>
      </c>
    </row>
    <row r="86" spans="1:7" x14ac:dyDescent="0.45">
      <c r="A86" t="s">
        <v>138</v>
      </c>
      <c r="B86" t="s">
        <v>112</v>
      </c>
      <c r="C86" t="s">
        <v>137</v>
      </c>
      <c r="D86" t="s">
        <v>17</v>
      </c>
      <c r="E86">
        <v>1</v>
      </c>
      <c r="F86">
        <v>1</v>
      </c>
    </row>
    <row r="87" spans="1:7" x14ac:dyDescent="0.45">
      <c r="A87" t="s">
        <v>139</v>
      </c>
      <c r="B87" t="s">
        <v>112</v>
      </c>
      <c r="C87" s="11" t="s">
        <v>140</v>
      </c>
      <c r="D87" t="s">
        <v>17</v>
      </c>
      <c r="E87">
        <v>1</v>
      </c>
      <c r="F87">
        <v>1</v>
      </c>
    </row>
    <row r="88" spans="1:7" x14ac:dyDescent="0.45">
      <c r="A88" t="s">
        <v>141</v>
      </c>
      <c r="B88" t="s">
        <v>112</v>
      </c>
      <c r="C88" t="s">
        <v>142</v>
      </c>
      <c r="D88" t="s">
        <v>10</v>
      </c>
      <c r="E88">
        <v>0.66</v>
      </c>
      <c r="F88">
        <v>0.66</v>
      </c>
    </row>
    <row r="89" spans="1:7" x14ac:dyDescent="0.45">
      <c r="A89" t="s">
        <v>143</v>
      </c>
      <c r="B89" t="s">
        <v>112</v>
      </c>
      <c r="C89" s="8" t="s">
        <v>100</v>
      </c>
      <c r="D89" t="s">
        <v>17</v>
      </c>
      <c r="F89">
        <v>0.66</v>
      </c>
      <c r="G89" t="s">
        <v>357</v>
      </c>
    </row>
    <row r="90" spans="1:7" x14ac:dyDescent="0.45">
      <c r="A90" t="s">
        <v>347</v>
      </c>
      <c r="B90" t="s">
        <v>112</v>
      </c>
      <c r="C90" t="s">
        <v>137</v>
      </c>
      <c r="D90" t="s">
        <v>17</v>
      </c>
      <c r="F90">
        <v>1</v>
      </c>
    </row>
    <row r="91" spans="1:7" x14ac:dyDescent="0.45">
      <c r="A91" t="s">
        <v>144</v>
      </c>
      <c r="B91" t="s">
        <v>112</v>
      </c>
      <c r="C91" s="8" t="s">
        <v>145</v>
      </c>
      <c r="D91" t="s">
        <v>17</v>
      </c>
      <c r="E91">
        <v>0.66</v>
      </c>
      <c r="F91">
        <v>1</v>
      </c>
    </row>
    <row r="92" spans="1:7" x14ac:dyDescent="0.45">
      <c r="A92" t="s">
        <v>146</v>
      </c>
      <c r="B92" t="s">
        <v>112</v>
      </c>
      <c r="C92" s="8" t="s">
        <v>147</v>
      </c>
      <c r="D92" t="s">
        <v>17</v>
      </c>
      <c r="E92">
        <v>1</v>
      </c>
      <c r="F92">
        <v>1</v>
      </c>
    </row>
    <row r="93" spans="1:7" x14ac:dyDescent="0.45">
      <c r="A93" t="s">
        <v>148</v>
      </c>
      <c r="B93" t="s">
        <v>112</v>
      </c>
      <c r="C93" t="s">
        <v>149</v>
      </c>
      <c r="D93" t="s">
        <v>17</v>
      </c>
      <c r="E93">
        <v>1</v>
      </c>
      <c r="F93">
        <v>1</v>
      </c>
    </row>
    <row r="94" spans="1:7" x14ac:dyDescent="0.45">
      <c r="A94" t="s">
        <v>150</v>
      </c>
      <c r="B94" t="s">
        <v>112</v>
      </c>
      <c r="C94" t="s">
        <v>149</v>
      </c>
      <c r="D94" t="s">
        <v>17</v>
      </c>
      <c r="E94">
        <v>1</v>
      </c>
      <c r="F94">
        <v>1</v>
      </c>
    </row>
    <row r="95" spans="1:7" x14ac:dyDescent="0.45">
      <c r="A95" t="s">
        <v>346</v>
      </c>
      <c r="B95" t="s">
        <v>112</v>
      </c>
      <c r="C95" s="8" t="s">
        <v>171</v>
      </c>
      <c r="D95" t="s">
        <v>10</v>
      </c>
      <c r="F95">
        <v>1</v>
      </c>
    </row>
    <row r="96" spans="1:7" x14ac:dyDescent="0.45">
      <c r="A96" t="s">
        <v>172</v>
      </c>
      <c r="B96" t="s">
        <v>112</v>
      </c>
      <c r="C96" s="8" t="s">
        <v>173</v>
      </c>
      <c r="D96" t="s">
        <v>10</v>
      </c>
      <c r="F96">
        <v>1</v>
      </c>
    </row>
    <row r="97" spans="1:7" x14ac:dyDescent="0.45">
      <c r="A97" t="s">
        <v>151</v>
      </c>
      <c r="B97" t="s">
        <v>152</v>
      </c>
      <c r="C97" t="s">
        <v>16</v>
      </c>
      <c r="D97" t="s">
        <v>17</v>
      </c>
      <c r="E97">
        <v>0.66</v>
      </c>
      <c r="F97">
        <v>0.66</v>
      </c>
    </row>
    <row r="98" spans="1:7" x14ac:dyDescent="0.45">
      <c r="A98" t="s">
        <v>153</v>
      </c>
      <c r="B98" t="s">
        <v>152</v>
      </c>
      <c r="C98" t="s">
        <v>16</v>
      </c>
      <c r="D98" t="s">
        <v>17</v>
      </c>
      <c r="E98">
        <v>0.66</v>
      </c>
      <c r="F98">
        <v>1</v>
      </c>
    </row>
    <row r="99" spans="1:7" x14ac:dyDescent="0.45">
      <c r="A99" t="s">
        <v>154</v>
      </c>
      <c r="B99" t="s">
        <v>152</v>
      </c>
      <c r="C99" t="s">
        <v>16</v>
      </c>
      <c r="D99" t="s">
        <v>17</v>
      </c>
      <c r="E99">
        <v>0.66</v>
      </c>
      <c r="F99">
        <v>0.66</v>
      </c>
    </row>
    <row r="100" spans="1:7" x14ac:dyDescent="0.45">
      <c r="A100" t="s">
        <v>155</v>
      </c>
      <c r="B100" t="s">
        <v>152</v>
      </c>
      <c r="C100" t="s">
        <v>16</v>
      </c>
      <c r="D100" t="s">
        <v>17</v>
      </c>
      <c r="E100">
        <v>0.66</v>
      </c>
      <c r="F100">
        <v>0.66</v>
      </c>
    </row>
    <row r="101" spans="1:7" x14ac:dyDescent="0.45">
      <c r="A101" t="s">
        <v>156</v>
      </c>
      <c r="B101" t="s">
        <v>152</v>
      </c>
      <c r="C101" t="s">
        <v>16</v>
      </c>
      <c r="D101" t="s">
        <v>17</v>
      </c>
      <c r="E101">
        <v>0.66</v>
      </c>
      <c r="F101">
        <v>0.66</v>
      </c>
      <c r="G101" t="s">
        <v>157</v>
      </c>
    </row>
    <row r="102" spans="1:7" x14ac:dyDescent="0.45">
      <c r="A102" t="s">
        <v>158</v>
      </c>
      <c r="B102" t="s">
        <v>152</v>
      </c>
      <c r="C102" s="4" t="s">
        <v>159</v>
      </c>
      <c r="D102" t="s">
        <v>10</v>
      </c>
      <c r="E102">
        <v>1</v>
      </c>
      <c r="F102">
        <v>0.66</v>
      </c>
      <c r="G102" t="s">
        <v>160</v>
      </c>
    </row>
    <row r="103" spans="1:7" x14ac:dyDescent="0.45">
      <c r="A103" t="s">
        <v>161</v>
      </c>
      <c r="B103" t="s">
        <v>152</v>
      </c>
      <c r="C103" s="4" t="s">
        <v>162</v>
      </c>
      <c r="D103" t="s">
        <v>10</v>
      </c>
      <c r="E103">
        <v>1</v>
      </c>
      <c r="F103">
        <v>0.66</v>
      </c>
      <c r="G103" t="s">
        <v>160</v>
      </c>
    </row>
    <row r="104" spans="1:7" x14ac:dyDescent="0.45">
      <c r="A104" t="s">
        <v>163</v>
      </c>
      <c r="B104" t="s">
        <v>152</v>
      </c>
      <c r="C104" t="s">
        <v>55</v>
      </c>
      <c r="D104" t="s">
        <v>17</v>
      </c>
      <c r="E104">
        <v>0.66</v>
      </c>
      <c r="F104">
        <v>1</v>
      </c>
      <c r="G104" t="s">
        <v>56</v>
      </c>
    </row>
    <row r="105" spans="1:7" x14ac:dyDescent="0.45">
      <c r="A105" t="s">
        <v>164</v>
      </c>
      <c r="B105" t="s">
        <v>152</v>
      </c>
      <c r="C105" t="s">
        <v>55</v>
      </c>
      <c r="D105" t="s">
        <v>17</v>
      </c>
      <c r="E105">
        <v>1</v>
      </c>
      <c r="F105">
        <v>1</v>
      </c>
      <c r="G105" t="s">
        <v>56</v>
      </c>
    </row>
    <row r="106" spans="1:7" x14ac:dyDescent="0.45">
      <c r="A106" t="s">
        <v>165</v>
      </c>
      <c r="B106" t="s">
        <v>152</v>
      </c>
      <c r="C106" t="s">
        <v>16</v>
      </c>
      <c r="D106" t="s">
        <v>17</v>
      </c>
      <c r="E106">
        <v>1</v>
      </c>
      <c r="F106">
        <v>0.66</v>
      </c>
      <c r="G106" t="s">
        <v>122</v>
      </c>
    </row>
    <row r="107" spans="1:7" x14ac:dyDescent="0.45">
      <c r="A107" t="s">
        <v>166</v>
      </c>
      <c r="B107" t="s">
        <v>152</v>
      </c>
      <c r="C107" t="s">
        <v>137</v>
      </c>
      <c r="D107" t="s">
        <v>17</v>
      </c>
      <c r="E107">
        <v>1</v>
      </c>
      <c r="F107">
        <v>1</v>
      </c>
    </row>
    <row r="108" spans="1:7" x14ac:dyDescent="0.45">
      <c r="A108" t="s">
        <v>167</v>
      </c>
      <c r="B108" t="s">
        <v>152</v>
      </c>
      <c r="C108" s="8" t="s">
        <v>168</v>
      </c>
      <c r="D108" t="s">
        <v>10</v>
      </c>
      <c r="F108">
        <v>1</v>
      </c>
    </row>
    <row r="109" spans="1:7" x14ac:dyDescent="0.45">
      <c r="A109" t="s">
        <v>169</v>
      </c>
      <c r="B109" t="s">
        <v>152</v>
      </c>
      <c r="C109" s="8" t="s">
        <v>170</v>
      </c>
      <c r="D109" t="s">
        <v>10</v>
      </c>
      <c r="F109">
        <v>1</v>
      </c>
    </row>
    <row r="110" spans="1:7" x14ac:dyDescent="0.45">
      <c r="A110" t="s">
        <v>174</v>
      </c>
      <c r="B110" t="s">
        <v>152</v>
      </c>
      <c r="C110" s="8" t="s">
        <v>175</v>
      </c>
      <c r="D110" t="s">
        <v>17</v>
      </c>
      <c r="F110">
        <v>0.66</v>
      </c>
    </row>
    <row r="111" spans="1:7" x14ac:dyDescent="0.45">
      <c r="A111" t="s">
        <v>176</v>
      </c>
      <c r="B111" t="s">
        <v>152</v>
      </c>
      <c r="C111" s="8" t="s">
        <v>170</v>
      </c>
      <c r="D111" t="s">
        <v>10</v>
      </c>
      <c r="F111">
        <v>0.66</v>
      </c>
    </row>
    <row r="112" spans="1:7" x14ac:dyDescent="0.45">
      <c r="A112" t="s">
        <v>177</v>
      </c>
      <c r="B112" t="s">
        <v>152</v>
      </c>
      <c r="C112" s="8" t="s">
        <v>170</v>
      </c>
      <c r="D112" t="s">
        <v>17</v>
      </c>
      <c r="F112">
        <v>0.66</v>
      </c>
    </row>
    <row r="113" spans="1:7" x14ac:dyDescent="0.45">
      <c r="A113" t="s">
        <v>178</v>
      </c>
      <c r="B113" t="s">
        <v>179</v>
      </c>
      <c r="C113" s="4" t="s">
        <v>180</v>
      </c>
      <c r="D113" t="s">
        <v>17</v>
      </c>
      <c r="E113">
        <v>1</v>
      </c>
      <c r="F113">
        <v>1</v>
      </c>
    </row>
    <row r="114" spans="1:7" x14ac:dyDescent="0.45">
      <c r="A114" t="s">
        <v>181</v>
      </c>
      <c r="B114" t="s">
        <v>179</v>
      </c>
      <c r="C114" t="s">
        <v>16</v>
      </c>
      <c r="D114" t="s">
        <v>17</v>
      </c>
      <c r="E114">
        <v>1</v>
      </c>
      <c r="F114">
        <v>1</v>
      </c>
    </row>
    <row r="115" spans="1:7" x14ac:dyDescent="0.45">
      <c r="A115" t="s">
        <v>182</v>
      </c>
      <c r="B115" t="s">
        <v>179</v>
      </c>
      <c r="C115" t="s">
        <v>16</v>
      </c>
      <c r="D115" t="s">
        <v>17</v>
      </c>
      <c r="E115">
        <v>1</v>
      </c>
      <c r="F115">
        <v>1</v>
      </c>
    </row>
    <row r="116" spans="1:7" x14ac:dyDescent="0.45">
      <c r="A116" t="s">
        <v>183</v>
      </c>
      <c r="B116" t="s">
        <v>179</v>
      </c>
      <c r="C116" s="4" t="s">
        <v>184</v>
      </c>
      <c r="D116" t="s">
        <v>17</v>
      </c>
      <c r="E116">
        <v>0.66</v>
      </c>
      <c r="F116">
        <v>0.66</v>
      </c>
    </row>
    <row r="117" spans="1:7" x14ac:dyDescent="0.45">
      <c r="A117" t="s">
        <v>185</v>
      </c>
      <c r="B117" t="s">
        <v>179</v>
      </c>
      <c r="C117" s="4" t="s">
        <v>184</v>
      </c>
      <c r="D117" t="s">
        <v>17</v>
      </c>
      <c r="E117">
        <v>0.66</v>
      </c>
      <c r="F117">
        <v>0.66</v>
      </c>
    </row>
    <row r="118" spans="1:7" x14ac:dyDescent="0.45">
      <c r="A118" t="s">
        <v>186</v>
      </c>
      <c r="B118" t="s">
        <v>179</v>
      </c>
      <c r="C118" s="5" t="s">
        <v>184</v>
      </c>
      <c r="D118" t="s">
        <v>17</v>
      </c>
      <c r="E118">
        <v>0.66</v>
      </c>
      <c r="F118">
        <v>0.66</v>
      </c>
    </row>
    <row r="119" spans="1:7" x14ac:dyDescent="0.45">
      <c r="A119" t="s">
        <v>187</v>
      </c>
      <c r="B119" t="s">
        <v>179</v>
      </c>
      <c r="C119" s="4" t="s">
        <v>188</v>
      </c>
      <c r="D119" t="s">
        <v>17</v>
      </c>
      <c r="E119">
        <v>0.66</v>
      </c>
      <c r="F119">
        <v>0.66</v>
      </c>
    </row>
    <row r="120" spans="1:7" x14ac:dyDescent="0.45">
      <c r="A120" t="s">
        <v>189</v>
      </c>
      <c r="B120" t="s">
        <v>179</v>
      </c>
      <c r="C120" s="3" t="s">
        <v>188</v>
      </c>
      <c r="D120" t="s">
        <v>17</v>
      </c>
      <c r="E120">
        <v>0.66</v>
      </c>
      <c r="F120">
        <v>0.66</v>
      </c>
    </row>
    <row r="121" spans="1:7" x14ac:dyDescent="0.45">
      <c r="A121" t="s">
        <v>190</v>
      </c>
      <c r="B121" t="s">
        <v>179</v>
      </c>
      <c r="C121" s="4" t="s">
        <v>188</v>
      </c>
      <c r="D121" t="s">
        <v>17</v>
      </c>
      <c r="E121">
        <v>0.66</v>
      </c>
      <c r="F121">
        <v>0.66</v>
      </c>
    </row>
    <row r="122" spans="1:7" x14ac:dyDescent="0.45">
      <c r="A122" t="s">
        <v>191</v>
      </c>
      <c r="B122" t="s">
        <v>179</v>
      </c>
      <c r="C122" s="5" t="s">
        <v>51</v>
      </c>
      <c r="D122" t="s">
        <v>17</v>
      </c>
      <c r="E122">
        <v>0.66</v>
      </c>
      <c r="F122">
        <v>0.66</v>
      </c>
    </row>
    <row r="123" spans="1:7" x14ac:dyDescent="0.45">
      <c r="A123" t="s">
        <v>192</v>
      </c>
      <c r="B123" t="s">
        <v>179</v>
      </c>
      <c r="C123" s="3" t="s">
        <v>53</v>
      </c>
      <c r="D123" t="s">
        <v>17</v>
      </c>
      <c r="E123">
        <v>0.66</v>
      </c>
      <c r="F123">
        <v>0.66</v>
      </c>
    </row>
    <row r="124" spans="1:7" x14ac:dyDescent="0.45">
      <c r="A124" t="s">
        <v>193</v>
      </c>
      <c r="B124" t="s">
        <v>179</v>
      </c>
      <c r="C124" s="12" t="s">
        <v>194</v>
      </c>
      <c r="D124" t="s">
        <v>17</v>
      </c>
      <c r="E124">
        <v>1</v>
      </c>
      <c r="F124">
        <v>1</v>
      </c>
      <c r="G124" t="s">
        <v>122</v>
      </c>
    </row>
    <row r="125" spans="1:7" x14ac:dyDescent="0.45">
      <c r="A125" t="s">
        <v>195</v>
      </c>
      <c r="B125" t="s">
        <v>179</v>
      </c>
      <c r="C125" t="s">
        <v>55</v>
      </c>
      <c r="D125" t="s">
        <v>17</v>
      </c>
      <c r="E125">
        <v>1</v>
      </c>
      <c r="F125">
        <v>1</v>
      </c>
      <c r="G125" t="s">
        <v>56</v>
      </c>
    </row>
    <row r="126" spans="1:7" x14ac:dyDescent="0.45">
      <c r="A126" t="s">
        <v>196</v>
      </c>
      <c r="B126" t="s">
        <v>179</v>
      </c>
      <c r="C126" t="s">
        <v>55</v>
      </c>
      <c r="D126" t="s">
        <v>17</v>
      </c>
      <c r="E126">
        <v>1</v>
      </c>
      <c r="F126">
        <v>1</v>
      </c>
      <c r="G126" t="s">
        <v>56</v>
      </c>
    </row>
    <row r="127" spans="1:7" x14ac:dyDescent="0.45">
      <c r="A127" t="s">
        <v>197</v>
      </c>
      <c r="B127" t="s">
        <v>179</v>
      </c>
      <c r="C127" t="s">
        <v>55</v>
      </c>
      <c r="D127" t="s">
        <v>17</v>
      </c>
      <c r="E127">
        <v>1</v>
      </c>
      <c r="F127">
        <v>1</v>
      </c>
      <c r="G127" t="s">
        <v>56</v>
      </c>
    </row>
    <row r="128" spans="1:7" x14ac:dyDescent="0.45">
      <c r="A128" t="s">
        <v>198</v>
      </c>
      <c r="B128" t="s">
        <v>179</v>
      </c>
      <c r="C128" t="s">
        <v>199</v>
      </c>
      <c r="D128" t="s">
        <v>17</v>
      </c>
      <c r="E128">
        <v>1</v>
      </c>
      <c r="F128">
        <v>1</v>
      </c>
    </row>
    <row r="129" spans="1:7" x14ac:dyDescent="0.45">
      <c r="A129" t="s">
        <v>200</v>
      </c>
      <c r="B129" t="s">
        <v>179</v>
      </c>
      <c r="C129" t="s">
        <v>199</v>
      </c>
      <c r="D129" t="s">
        <v>17</v>
      </c>
      <c r="E129">
        <v>1</v>
      </c>
      <c r="F129">
        <v>1</v>
      </c>
    </row>
    <row r="130" spans="1:7" x14ac:dyDescent="0.45">
      <c r="A130" t="s">
        <v>201</v>
      </c>
      <c r="B130" t="s">
        <v>179</v>
      </c>
      <c r="C130" t="s">
        <v>199</v>
      </c>
      <c r="D130" t="s">
        <v>17</v>
      </c>
      <c r="E130">
        <v>1</v>
      </c>
      <c r="F130">
        <v>1</v>
      </c>
    </row>
    <row r="131" spans="1:7" x14ac:dyDescent="0.45">
      <c r="A131" t="s">
        <v>202</v>
      </c>
      <c r="B131" t="s">
        <v>179</v>
      </c>
      <c r="C131" t="s">
        <v>199</v>
      </c>
      <c r="D131" t="s">
        <v>17</v>
      </c>
      <c r="E131">
        <v>1</v>
      </c>
      <c r="F131">
        <v>1</v>
      </c>
    </row>
    <row r="132" spans="1:7" x14ac:dyDescent="0.45">
      <c r="A132" t="s">
        <v>203</v>
      </c>
      <c r="B132" t="s">
        <v>179</v>
      </c>
      <c r="C132" t="s">
        <v>204</v>
      </c>
      <c r="D132" t="s">
        <v>17</v>
      </c>
      <c r="E132">
        <v>1</v>
      </c>
      <c r="F132">
        <v>1</v>
      </c>
    </row>
    <row r="133" spans="1:7" x14ac:dyDescent="0.45">
      <c r="A133" t="s">
        <v>205</v>
      </c>
      <c r="B133" t="s">
        <v>179</v>
      </c>
      <c r="C133" t="s">
        <v>206</v>
      </c>
      <c r="D133" t="s">
        <v>17</v>
      </c>
      <c r="E133">
        <v>1</v>
      </c>
      <c r="F133">
        <v>1</v>
      </c>
    </row>
    <row r="134" spans="1:7" x14ac:dyDescent="0.45">
      <c r="A134" t="s">
        <v>207</v>
      </c>
      <c r="B134" t="s">
        <v>179</v>
      </c>
      <c r="C134" t="s">
        <v>208</v>
      </c>
      <c r="D134" t="s">
        <v>17</v>
      </c>
      <c r="E134">
        <v>1</v>
      </c>
      <c r="F134">
        <v>1</v>
      </c>
    </row>
    <row r="135" spans="1:7" x14ac:dyDescent="0.45">
      <c r="A135" t="s">
        <v>209</v>
      </c>
      <c r="B135" t="s">
        <v>179</v>
      </c>
      <c r="C135" t="s">
        <v>210</v>
      </c>
      <c r="D135" t="s">
        <v>17</v>
      </c>
      <c r="E135">
        <v>1</v>
      </c>
      <c r="F135">
        <v>1</v>
      </c>
    </row>
    <row r="136" spans="1:7" x14ac:dyDescent="0.45">
      <c r="A136" t="s">
        <v>211</v>
      </c>
      <c r="B136" t="s">
        <v>179</v>
      </c>
      <c r="C136" t="s">
        <v>212</v>
      </c>
      <c r="D136" t="s">
        <v>17</v>
      </c>
      <c r="E136">
        <v>1</v>
      </c>
      <c r="F136">
        <v>1</v>
      </c>
    </row>
    <row r="137" spans="1:7" x14ac:dyDescent="0.45">
      <c r="A137" t="s">
        <v>213</v>
      </c>
      <c r="B137" t="s">
        <v>179</v>
      </c>
      <c r="C137" t="s">
        <v>214</v>
      </c>
      <c r="D137" t="s">
        <v>17</v>
      </c>
      <c r="E137">
        <v>1</v>
      </c>
      <c r="F137">
        <v>1</v>
      </c>
      <c r="G137" t="s">
        <v>122</v>
      </c>
    </row>
    <row r="138" spans="1:7" x14ac:dyDescent="0.45">
      <c r="A138" t="s">
        <v>215</v>
      </c>
      <c r="B138" t="s">
        <v>179</v>
      </c>
      <c r="C138" t="s">
        <v>216</v>
      </c>
      <c r="D138" t="s">
        <v>10</v>
      </c>
      <c r="E138">
        <v>1</v>
      </c>
      <c r="F138">
        <v>1</v>
      </c>
    </row>
    <row r="139" spans="1:7" x14ac:dyDescent="0.45">
      <c r="A139" t="s">
        <v>217</v>
      </c>
      <c r="B139" t="s">
        <v>179</v>
      </c>
      <c r="C139" t="s">
        <v>218</v>
      </c>
      <c r="D139" t="s">
        <v>17</v>
      </c>
      <c r="E139">
        <v>1</v>
      </c>
      <c r="F139">
        <v>1</v>
      </c>
      <c r="G139" t="s">
        <v>122</v>
      </c>
    </row>
    <row r="140" spans="1:7" x14ac:dyDescent="0.45">
      <c r="A140" t="s">
        <v>219</v>
      </c>
      <c r="B140" t="s">
        <v>179</v>
      </c>
      <c r="C140" t="s">
        <v>220</v>
      </c>
      <c r="D140" t="s">
        <v>17</v>
      </c>
      <c r="E140">
        <v>1</v>
      </c>
      <c r="F140">
        <v>1</v>
      </c>
    </row>
    <row r="141" spans="1:7" x14ac:dyDescent="0.45">
      <c r="A141" t="s">
        <v>221</v>
      </c>
      <c r="B141" t="s">
        <v>179</v>
      </c>
      <c r="C141" t="s">
        <v>222</v>
      </c>
      <c r="D141" t="s">
        <v>17</v>
      </c>
      <c r="E141">
        <v>0.66</v>
      </c>
      <c r="F141">
        <v>0.66</v>
      </c>
      <c r="G141" t="s">
        <v>223</v>
      </c>
    </row>
    <row r="142" spans="1:7" x14ac:dyDescent="0.45">
      <c r="A142" t="s">
        <v>224</v>
      </c>
      <c r="B142" t="s">
        <v>179</v>
      </c>
      <c r="C142" t="s">
        <v>225</v>
      </c>
      <c r="D142" t="s">
        <v>17</v>
      </c>
      <c r="E142">
        <v>1</v>
      </c>
      <c r="F142">
        <v>1</v>
      </c>
      <c r="G142" t="s">
        <v>223</v>
      </c>
    </row>
    <row r="143" spans="1:7" x14ac:dyDescent="0.45">
      <c r="A143" t="s">
        <v>226</v>
      </c>
      <c r="B143" t="s">
        <v>179</v>
      </c>
      <c r="C143" t="s">
        <v>227</v>
      </c>
      <c r="D143" t="s">
        <v>17</v>
      </c>
      <c r="E143">
        <v>1</v>
      </c>
      <c r="F143">
        <v>1</v>
      </c>
      <c r="G143" t="s">
        <v>223</v>
      </c>
    </row>
    <row r="144" spans="1:7" x14ac:dyDescent="0.45">
      <c r="A144" t="s">
        <v>228</v>
      </c>
      <c r="B144" t="s">
        <v>179</v>
      </c>
      <c r="C144" s="8" t="s">
        <v>100</v>
      </c>
      <c r="D144" t="s">
        <v>17</v>
      </c>
      <c r="F144">
        <v>0.66</v>
      </c>
      <c r="G144" t="s">
        <v>358</v>
      </c>
    </row>
    <row r="145" spans="1:7" x14ac:dyDescent="0.45">
      <c r="A145" t="s">
        <v>229</v>
      </c>
      <c r="B145" t="s">
        <v>179</v>
      </c>
      <c r="C145" t="s">
        <v>100</v>
      </c>
      <c r="D145" t="s">
        <v>17</v>
      </c>
      <c r="F145">
        <v>0.66</v>
      </c>
      <c r="G145" t="s">
        <v>358</v>
      </c>
    </row>
    <row r="146" spans="1:7" x14ac:dyDescent="0.45">
      <c r="A146" t="s">
        <v>230</v>
      </c>
      <c r="B146" t="s">
        <v>179</v>
      </c>
      <c r="C146" t="s">
        <v>231</v>
      </c>
      <c r="D146" t="s">
        <v>17</v>
      </c>
      <c r="F146">
        <v>1</v>
      </c>
      <c r="G146" t="s">
        <v>122</v>
      </c>
    </row>
    <row r="147" spans="1:7" x14ac:dyDescent="0.45">
      <c r="A147" t="s">
        <v>232</v>
      </c>
      <c r="B147" t="s">
        <v>233</v>
      </c>
      <c r="C147" t="s">
        <v>16</v>
      </c>
      <c r="D147" t="s">
        <v>17</v>
      </c>
      <c r="E147">
        <v>0.66</v>
      </c>
      <c r="F147">
        <v>0.66</v>
      </c>
    </row>
    <row r="148" spans="1:7" x14ac:dyDescent="0.45">
      <c r="A148" t="s">
        <v>234</v>
      </c>
      <c r="B148" t="s">
        <v>233</v>
      </c>
      <c r="C148" s="8" t="s">
        <v>235</v>
      </c>
      <c r="D148" t="s">
        <v>17</v>
      </c>
      <c r="E148">
        <v>1</v>
      </c>
      <c r="F148">
        <v>1</v>
      </c>
    </row>
    <row r="149" spans="1:7" x14ac:dyDescent="0.45">
      <c r="A149" t="s">
        <v>236</v>
      </c>
      <c r="B149" t="s">
        <v>233</v>
      </c>
      <c r="C149" s="8" t="s">
        <v>235</v>
      </c>
      <c r="D149" t="s">
        <v>17</v>
      </c>
      <c r="E149">
        <v>1</v>
      </c>
      <c r="F149">
        <v>1</v>
      </c>
    </row>
    <row r="150" spans="1:7" x14ac:dyDescent="0.45">
      <c r="A150" t="s">
        <v>237</v>
      </c>
      <c r="B150" t="s">
        <v>233</v>
      </c>
      <c r="C150" s="5" t="s">
        <v>238</v>
      </c>
      <c r="D150" t="s">
        <v>10</v>
      </c>
      <c r="E150">
        <v>0.66</v>
      </c>
      <c r="F150">
        <v>0.66</v>
      </c>
      <c r="G150" t="s">
        <v>122</v>
      </c>
    </row>
    <row r="151" spans="1:7" x14ac:dyDescent="0.45">
      <c r="A151" t="s">
        <v>239</v>
      </c>
      <c r="B151" t="s">
        <v>233</v>
      </c>
      <c r="C151" s="3" t="s">
        <v>240</v>
      </c>
      <c r="D151" t="s">
        <v>17</v>
      </c>
      <c r="E151">
        <v>1</v>
      </c>
      <c r="F151">
        <v>1</v>
      </c>
    </row>
    <row r="152" spans="1:7" x14ac:dyDescent="0.45">
      <c r="A152" t="s">
        <v>241</v>
      </c>
      <c r="B152" t="s">
        <v>233</v>
      </c>
      <c r="C152" t="s">
        <v>55</v>
      </c>
      <c r="D152" t="s">
        <v>17</v>
      </c>
      <c r="E152">
        <v>0.66</v>
      </c>
      <c r="F152">
        <v>0.66</v>
      </c>
      <c r="G152" t="s">
        <v>56</v>
      </c>
    </row>
    <row r="153" spans="1:7" x14ac:dyDescent="0.45">
      <c r="A153" t="s">
        <v>242</v>
      </c>
      <c r="B153" t="s">
        <v>233</v>
      </c>
      <c r="C153" t="s">
        <v>55</v>
      </c>
      <c r="D153" t="s">
        <v>17</v>
      </c>
      <c r="E153">
        <v>1</v>
      </c>
      <c r="F153">
        <v>1</v>
      </c>
      <c r="G153" t="s">
        <v>56</v>
      </c>
    </row>
    <row r="154" spans="1:7" x14ac:dyDescent="0.45">
      <c r="A154" t="s">
        <v>243</v>
      </c>
      <c r="B154" t="s">
        <v>233</v>
      </c>
      <c r="C154" t="s">
        <v>55</v>
      </c>
      <c r="D154" t="s">
        <v>17</v>
      </c>
      <c r="E154">
        <v>1</v>
      </c>
      <c r="F154">
        <v>1</v>
      </c>
      <c r="G154" t="s">
        <v>56</v>
      </c>
    </row>
    <row r="155" spans="1:7" x14ac:dyDescent="0.45">
      <c r="A155" t="s">
        <v>244</v>
      </c>
      <c r="B155" t="s">
        <v>233</v>
      </c>
      <c r="C155" t="s">
        <v>55</v>
      </c>
      <c r="D155" t="s">
        <v>17</v>
      </c>
      <c r="E155">
        <v>1</v>
      </c>
      <c r="F155">
        <v>1</v>
      </c>
      <c r="G155" t="s">
        <v>56</v>
      </c>
    </row>
    <row r="156" spans="1:7" x14ac:dyDescent="0.45">
      <c r="A156" t="s">
        <v>245</v>
      </c>
      <c r="B156" t="s">
        <v>233</v>
      </c>
      <c r="C156" t="s">
        <v>55</v>
      </c>
      <c r="D156" t="s">
        <v>17</v>
      </c>
      <c r="E156">
        <v>1</v>
      </c>
      <c r="F156">
        <v>1</v>
      </c>
      <c r="G156" t="s">
        <v>56</v>
      </c>
    </row>
    <row r="157" spans="1:7" x14ac:dyDescent="0.45">
      <c r="A157" t="s">
        <v>246</v>
      </c>
      <c r="B157" t="s">
        <v>233</v>
      </c>
      <c r="C157" s="11" t="s">
        <v>247</v>
      </c>
      <c r="D157" t="s">
        <v>17</v>
      </c>
      <c r="E157">
        <v>1</v>
      </c>
      <c r="F157">
        <v>1</v>
      </c>
    </row>
    <row r="158" spans="1:7" x14ac:dyDescent="0.45">
      <c r="A158" t="s">
        <v>248</v>
      </c>
      <c r="B158" t="s">
        <v>233</v>
      </c>
      <c r="C158" t="s">
        <v>16</v>
      </c>
      <c r="D158" t="s">
        <v>10</v>
      </c>
      <c r="E158">
        <v>1</v>
      </c>
      <c r="F158">
        <v>1</v>
      </c>
    </row>
    <row r="159" spans="1:7" x14ac:dyDescent="0.45">
      <c r="A159" t="s">
        <v>249</v>
      </c>
      <c r="B159" t="s">
        <v>233</v>
      </c>
      <c r="C159" t="s">
        <v>250</v>
      </c>
      <c r="D159" t="s">
        <v>17</v>
      </c>
      <c r="E159">
        <v>1</v>
      </c>
      <c r="F159">
        <v>1</v>
      </c>
    </row>
  </sheetData>
  <autoFilter ref="A1:G1" xr:uid="{B5B9472C-DE65-404D-9B55-BCC3D3735E8E}"/>
  <phoneticPr fontId="5" type="noConversion"/>
  <dataValidations count="3">
    <dataValidation type="list" allowBlank="1" showInputMessage="1" showErrorMessage="1" sqref="B160:B2979" xr:uid="{30D48BC7-50EF-4E48-8F02-6CA16A305C68}">
      <formula1>"Okos életkörülmények, Okos gazdaság, Okos kormányzás, Okos környezet,Okos közlekedés, Okos lakosság"</formula1>
    </dataValidation>
    <dataValidation type="list" allowBlank="1" showErrorMessage="1" sqref="E2:E134" xr:uid="{0788CA3F-4A3A-4790-897C-23377AF980CD}">
      <formula1>"0,66,1"</formula1>
    </dataValidation>
    <dataValidation type="list" allowBlank="1" showInputMessage="1" showErrorMessage="1" sqref="H2:H159" xr:uid="{B4F87C37-533F-49E9-92C2-21448E1BB767}">
      <formula1>"Igen, Nem"</formula1>
    </dataValidation>
  </dataValidations>
  <hyperlinks>
    <hyperlink ref="C124" r:id="rId1" xr:uid="{7CC08792-08FD-4C1E-ACBF-B1DA8CDD1F41}"/>
    <hyperlink ref="C44" r:id="rId2" xr:uid="{9C6B50C8-B87A-4082-8007-92E1ABD7BD6F}"/>
    <hyperlink ref="C151" r:id="rId3" xr:uid="{B6CE48E2-66DE-4D74-9860-A46090153EE1}"/>
    <hyperlink ref="C120" r:id="rId4" xr:uid="{EA27A6F5-2086-4010-9F45-A632B4CAEE22}"/>
    <hyperlink ref="C123" r:id="rId5" xr:uid="{0009E5D0-8D26-483C-831A-A0246D544669}"/>
    <hyperlink ref="C17" r:id="rId6" xr:uid="{AAAC4477-B8A0-4FC7-BECB-4A451E31BB19}"/>
    <hyperlink ref="C31" r:id="rId7" xr:uid="{110DB696-0752-4B27-97A1-DD5A3E07DE2C}"/>
    <hyperlink ref="C32" r:id="rId8" display="https://menhely.hu/hajlektalansagrol/tudastar/februar-harmadika-anyagok/" xr:uid="{471620E5-C14F-4D1B-95B5-5A57A2BD4442}"/>
    <hyperlink ref="C96" r:id="rId9" xr:uid="{C5B62E6D-3DB5-4282-BF04-86A9DDC1C8EE}"/>
    <hyperlink ref="C95" r:id="rId10" xr:uid="{E71B900C-BDCB-49A6-AFE2-D00A2E289F57}"/>
    <hyperlink ref="C110" r:id="rId11" xr:uid="{51F953C0-34F2-4A47-81C6-98035B833A22}"/>
    <hyperlink ref="C58" r:id="rId12" xr:uid="{5552BF59-C995-4E01-B03C-3971410E4CA1}"/>
    <hyperlink ref="C109" r:id="rId13" xr:uid="{ABAE799A-F09D-42C7-8257-5869C45D193E}"/>
    <hyperlink ref="C111" r:id="rId14" xr:uid="{C116C4A3-7B5D-4DB1-B771-1A0C45B252F6}"/>
    <hyperlink ref="C112" r:id="rId15" xr:uid="{7BF18EAB-9C9A-4FFF-ADEB-DDAA3D209B49}"/>
    <hyperlink ref="C144" r:id="rId16" xr:uid="{BD397925-14D6-40BF-BCF3-E7553668786C}"/>
    <hyperlink ref="C13" r:id="rId17" xr:uid="{CF49A929-3018-4E43-96E0-1AC085F60FE8}"/>
    <hyperlink ref="C72" r:id="rId18" xr:uid="{8F73BF94-E903-45E5-BA6D-494C764250DE}"/>
    <hyperlink ref="C87" r:id="rId19" xr:uid="{0EF803AD-1A9C-4481-BDBB-2377A6EC68E8}"/>
    <hyperlink ref="C54" r:id="rId20" xr:uid="{489EB458-827D-4288-95A7-FBA85938700B}"/>
    <hyperlink ref="C89" r:id="rId21" xr:uid="{0D8E217A-1AA6-475D-840F-96204B3259F9}"/>
    <hyperlink ref="C48" r:id="rId22" xr:uid="{8819F65D-985A-4ACA-9180-00AF77539052}"/>
    <hyperlink ref="C157" r:id="rId23" xr:uid="{0B3A3C73-11A4-4F22-A800-D2F8120665F9}"/>
    <hyperlink ref="C15" r:id="rId24" xr:uid="{296F509A-F477-436D-851C-F0B061EA3F68}"/>
    <hyperlink ref="C91" r:id="rId25" xr:uid="{7800D429-A119-47E7-8D20-242114DAA8EF}"/>
    <hyperlink ref="C92" r:id="rId26" xr:uid="{ABB63226-EF24-4D3B-B4A4-73661C9A5C2B}"/>
    <hyperlink ref="C149" r:id="rId27" xr:uid="{8449F3A7-87BF-4361-8E33-680ADAF0412A}"/>
    <hyperlink ref="C148" r:id="rId28" xr:uid="{6BF7DF1D-18F7-4B31-B31C-CB7B8781C0FC}"/>
    <hyperlink ref="C11" r:id="rId29" xr:uid="{9915DA3D-76A7-45FF-A0A9-DD5BEECE5C7F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833B79-2CD1-48E3-ACB6-5B02F9947C82}">
  <dimension ref="A1:W186"/>
  <sheetViews>
    <sheetView topLeftCell="A88" workbookViewId="0">
      <pane xSplit="1" topLeftCell="B1" activePane="topRight" state="frozen"/>
      <selection activeCell="A77" sqref="A77"/>
      <selection pane="topRight" activeCell="K148" sqref="K148"/>
    </sheetView>
  </sheetViews>
  <sheetFormatPr defaultRowHeight="14.25" x14ac:dyDescent="0.45"/>
  <cols>
    <col min="1" max="1" width="60.53125" customWidth="1"/>
    <col min="2" max="2" width="18.1328125" customWidth="1"/>
    <col min="3" max="3" width="26.19921875" customWidth="1"/>
    <col min="4" max="4" width="12" bestFit="1" customWidth="1"/>
    <col min="5" max="5" width="13.33203125" bestFit="1" customWidth="1"/>
    <col min="6" max="6" width="14.265625" customWidth="1"/>
    <col min="7" max="7" width="15.33203125" customWidth="1"/>
    <col min="8" max="8" width="15.46484375" customWidth="1"/>
    <col min="9" max="9" width="13.73046875" customWidth="1"/>
    <col min="10" max="10" width="14.1328125" customWidth="1"/>
    <col min="11" max="11" width="12.265625" bestFit="1" customWidth="1"/>
    <col min="12" max="14" width="9.796875" bestFit="1" customWidth="1"/>
  </cols>
  <sheetData>
    <row r="1" spans="1:23" x14ac:dyDescent="0.45">
      <c r="A1" t="s">
        <v>0</v>
      </c>
      <c r="B1" t="s">
        <v>1</v>
      </c>
      <c r="C1" t="s">
        <v>2</v>
      </c>
      <c r="D1" t="s">
        <v>3</v>
      </c>
      <c r="E1" s="13">
        <v>2018</v>
      </c>
      <c r="F1" s="13">
        <v>2019</v>
      </c>
      <c r="G1" s="13">
        <v>2020</v>
      </c>
      <c r="H1" s="13">
        <v>2021</v>
      </c>
      <c r="I1" s="13">
        <v>2022</v>
      </c>
      <c r="J1" s="13">
        <v>2023</v>
      </c>
      <c r="K1" s="13">
        <v>2024</v>
      </c>
      <c r="L1" s="13" t="s">
        <v>251</v>
      </c>
      <c r="M1" s="13" t="s">
        <v>252</v>
      </c>
      <c r="N1" s="13" t="s">
        <v>253</v>
      </c>
      <c r="O1" s="13" t="s">
        <v>254</v>
      </c>
      <c r="P1" s="13" t="s">
        <v>255</v>
      </c>
      <c r="Q1" s="13" t="s">
        <v>256</v>
      </c>
      <c r="R1" s="13" t="s">
        <v>257</v>
      </c>
      <c r="S1" s="13" t="s">
        <v>258</v>
      </c>
      <c r="T1" s="13" t="s">
        <v>259</v>
      </c>
      <c r="U1" s="13" t="s">
        <v>260</v>
      </c>
      <c r="V1" t="s">
        <v>5</v>
      </c>
      <c r="W1" s="13" t="s">
        <v>6</v>
      </c>
    </row>
    <row r="2" spans="1:23" x14ac:dyDescent="0.45">
      <c r="A2" t="s">
        <v>7</v>
      </c>
      <c r="B2" t="s">
        <v>8</v>
      </c>
      <c r="C2" s="8" t="s">
        <v>261</v>
      </c>
      <c r="D2" t="s">
        <v>10</v>
      </c>
      <c r="E2">
        <v>37</v>
      </c>
      <c r="F2">
        <v>44</v>
      </c>
      <c r="G2">
        <v>43</v>
      </c>
      <c r="H2">
        <v>47</v>
      </c>
      <c r="I2">
        <v>53</v>
      </c>
      <c r="J2">
        <v>37</v>
      </c>
      <c r="K2">
        <v>33</v>
      </c>
      <c r="L2" s="14">
        <f t="shared" ref="L2:R4" si="0">101-IF(E2&lt;$T2,1,IF(E2&gt;$U2,100,(((((E2-$T2)/($U2-$T2))*99)+1))))</f>
        <v>64.313953488372093</v>
      </c>
      <c r="M2" s="14">
        <f t="shared" si="0"/>
        <v>48.197674418604649</v>
      </c>
      <c r="N2" s="14">
        <f t="shared" si="0"/>
        <v>50.5</v>
      </c>
      <c r="O2" s="14">
        <f t="shared" si="0"/>
        <v>41.290697674418603</v>
      </c>
      <c r="P2" s="14">
        <f t="shared" si="0"/>
        <v>27.476744186046517</v>
      </c>
      <c r="Q2" s="14">
        <f t="shared" si="0"/>
        <v>64.313953488372093</v>
      </c>
      <c r="R2" s="14">
        <f t="shared" si="0"/>
        <v>73.523255813953483</v>
      </c>
      <c r="S2">
        <f t="shared" ref="S2:S27" si="1">MEDIAN(E2:K2)</f>
        <v>43</v>
      </c>
      <c r="T2">
        <f t="shared" ref="T2:T13" si="2">S2*0.5</f>
        <v>21.5</v>
      </c>
      <c r="U2">
        <f t="shared" ref="U2:U13" si="3">S2*1.5</f>
        <v>64.5</v>
      </c>
      <c r="V2">
        <v>0.66</v>
      </c>
    </row>
    <row r="3" spans="1:23" x14ac:dyDescent="0.45">
      <c r="A3" t="s">
        <v>11</v>
      </c>
      <c r="B3" t="s">
        <v>8</v>
      </c>
      <c r="C3" s="8" t="s">
        <v>12</v>
      </c>
      <c r="D3" t="s">
        <v>10</v>
      </c>
      <c r="E3">
        <v>40</v>
      </c>
      <c r="F3">
        <v>36</v>
      </c>
      <c r="G3">
        <v>23</v>
      </c>
      <c r="H3">
        <v>26</v>
      </c>
      <c r="I3">
        <v>27</v>
      </c>
      <c r="J3">
        <v>19</v>
      </c>
      <c r="K3">
        <v>35</v>
      </c>
      <c r="L3" s="14">
        <f t="shared" si="0"/>
        <v>2.8333333333333286</v>
      </c>
      <c r="M3" s="14">
        <f t="shared" si="0"/>
        <v>17.5</v>
      </c>
      <c r="N3" s="14">
        <f t="shared" si="0"/>
        <v>65.166666666666657</v>
      </c>
      <c r="O3" s="14">
        <f t="shared" si="0"/>
        <v>54.166666666666664</v>
      </c>
      <c r="P3" s="14">
        <f t="shared" si="0"/>
        <v>50.5</v>
      </c>
      <c r="Q3" s="14">
        <f t="shared" si="0"/>
        <v>79.833333333333343</v>
      </c>
      <c r="R3" s="14">
        <f t="shared" si="0"/>
        <v>21.166666666666671</v>
      </c>
      <c r="S3">
        <f t="shared" si="1"/>
        <v>27</v>
      </c>
      <c r="T3">
        <f t="shared" si="2"/>
        <v>13.5</v>
      </c>
      <c r="U3">
        <f t="shared" si="3"/>
        <v>40.5</v>
      </c>
      <c r="V3">
        <v>0.66</v>
      </c>
    </row>
    <row r="4" spans="1:23" x14ac:dyDescent="0.45">
      <c r="A4" t="s">
        <v>13</v>
      </c>
      <c r="B4" t="s">
        <v>8</v>
      </c>
      <c r="C4" s="8" t="s">
        <v>262</v>
      </c>
      <c r="D4" t="s">
        <v>10</v>
      </c>
      <c r="E4">
        <v>21546</v>
      </c>
      <c r="F4">
        <v>21058</v>
      </c>
      <c r="G4">
        <v>22744</v>
      </c>
      <c r="H4">
        <v>24357</v>
      </c>
      <c r="I4">
        <v>22057</v>
      </c>
      <c r="J4">
        <v>20476</v>
      </c>
      <c r="K4">
        <v>20367</v>
      </c>
      <c r="L4" s="14">
        <f t="shared" si="0"/>
        <v>50.5</v>
      </c>
      <c r="M4" s="14">
        <f t="shared" si="0"/>
        <v>52.742272347535504</v>
      </c>
      <c r="N4" s="14">
        <f t="shared" si="0"/>
        <v>44.995405179615702</v>
      </c>
      <c r="O4" s="14">
        <f t="shared" si="0"/>
        <v>37.583959899749374</v>
      </c>
      <c r="P4" s="14">
        <f t="shared" si="0"/>
        <v>48.152046783625735</v>
      </c>
      <c r="Q4" s="14">
        <f t="shared" si="0"/>
        <v>55.416457811194654</v>
      </c>
      <c r="R4" s="14">
        <f t="shared" si="0"/>
        <v>55.917293233082709</v>
      </c>
      <c r="S4">
        <f t="shared" si="1"/>
        <v>21546</v>
      </c>
      <c r="T4">
        <f t="shared" si="2"/>
        <v>10773</v>
      </c>
      <c r="U4">
        <f t="shared" si="3"/>
        <v>32319</v>
      </c>
      <c r="V4">
        <v>1</v>
      </c>
    </row>
    <row r="5" spans="1:23" x14ac:dyDescent="0.45">
      <c r="A5" t="s">
        <v>15</v>
      </c>
      <c r="B5" t="s">
        <v>8</v>
      </c>
      <c r="C5" t="s">
        <v>16</v>
      </c>
      <c r="D5" t="s">
        <v>17</v>
      </c>
      <c r="E5" t="s">
        <v>263</v>
      </c>
      <c r="F5" t="s">
        <v>263</v>
      </c>
      <c r="G5" t="s">
        <v>263</v>
      </c>
      <c r="H5">
        <f>662265/Lakosságszám!F3</f>
        <v>393.86002629837054</v>
      </c>
      <c r="I5" s="15">
        <f>848319/Lakosságszám!G3</f>
        <v>507.45189244868919</v>
      </c>
      <c r="J5">
        <f>743063/Lakosságszám!H3</f>
        <v>442.66486676798047</v>
      </c>
      <c r="K5">
        <f>803764/Lakosságszám!I3</f>
        <v>476.808950504682</v>
      </c>
      <c r="L5" s="14">
        <v>50</v>
      </c>
      <c r="M5" s="14">
        <v>50</v>
      </c>
      <c r="N5" s="14">
        <v>50</v>
      </c>
      <c r="O5" s="14">
        <f t="shared" ref="O5:R6" si="4">IF(H5&lt;$T5,1,IF(H5&gt;$U5,100,(((((H5-$T5)/($U5-$T5))*99)+1))))</f>
        <v>36.314035747525544</v>
      </c>
      <c r="P5" s="14">
        <f t="shared" si="4"/>
        <v>60.774970985982165</v>
      </c>
      <c r="Q5" s="14">
        <f t="shared" si="4"/>
        <v>46.823697068438591</v>
      </c>
      <c r="R5" s="14">
        <f t="shared" si="4"/>
        <v>54.176302931561416</v>
      </c>
      <c r="S5">
        <f t="shared" si="1"/>
        <v>459.73690863633124</v>
      </c>
      <c r="T5">
        <f t="shared" si="2"/>
        <v>229.86845431816562</v>
      </c>
      <c r="U5">
        <f t="shared" si="3"/>
        <v>689.60536295449685</v>
      </c>
      <c r="V5">
        <v>1</v>
      </c>
    </row>
    <row r="6" spans="1:23" x14ac:dyDescent="0.45">
      <c r="A6" t="s">
        <v>18</v>
      </c>
      <c r="B6" t="s">
        <v>8</v>
      </c>
      <c r="C6" t="s">
        <v>16</v>
      </c>
      <c r="D6" t="s">
        <v>17</v>
      </c>
      <c r="E6" t="s">
        <v>263</v>
      </c>
      <c r="F6" t="s">
        <v>263</v>
      </c>
      <c r="G6" t="s">
        <v>263</v>
      </c>
      <c r="H6">
        <f>1717726/Lakosságszám!F3</f>
        <v>1021.5602629361281</v>
      </c>
      <c r="I6">
        <f>1777788/Lakosságszám!G3</f>
        <v>1063.446515959881</v>
      </c>
      <c r="J6">
        <f>1737668/Lakosságszám!H3</f>
        <v>1035.1808308407001</v>
      </c>
      <c r="K6">
        <f>1855090/Lakosságszám!I3</f>
        <v>1100.4766523404016</v>
      </c>
      <c r="L6" s="14">
        <v>50</v>
      </c>
      <c r="M6" s="14">
        <v>50</v>
      </c>
      <c r="N6" s="14">
        <v>50</v>
      </c>
      <c r="O6" s="14">
        <f t="shared" si="4"/>
        <v>47.881538327763749</v>
      </c>
      <c r="P6" s="14">
        <f t="shared" si="4"/>
        <v>51.833396722893667</v>
      </c>
      <c r="Q6" s="14">
        <f t="shared" si="4"/>
        <v>49.16660327710634</v>
      </c>
      <c r="R6" s="14">
        <f t="shared" si="4"/>
        <v>55.327093216709429</v>
      </c>
      <c r="S6">
        <f t="shared" si="1"/>
        <v>1049.3136734002906</v>
      </c>
      <c r="T6">
        <f t="shared" si="2"/>
        <v>524.65683670014528</v>
      </c>
      <c r="U6">
        <f t="shared" si="3"/>
        <v>1573.9705101004358</v>
      </c>
      <c r="V6">
        <v>1</v>
      </c>
    </row>
    <row r="7" spans="1:23" x14ac:dyDescent="0.45">
      <c r="A7" t="s">
        <v>19</v>
      </c>
      <c r="B7" t="s">
        <v>8</v>
      </c>
      <c r="C7" t="s">
        <v>16</v>
      </c>
      <c r="D7" t="s">
        <v>10</v>
      </c>
      <c r="E7">
        <v>822</v>
      </c>
      <c r="F7">
        <v>984</v>
      </c>
      <c r="G7">
        <v>833</v>
      </c>
      <c r="H7">
        <v>844</v>
      </c>
      <c r="I7" s="2">
        <f>H7/G7*H7</f>
        <v>855.14525810324142</v>
      </c>
      <c r="J7" s="2">
        <f>I7/H7*I7</f>
        <v>866.43769248395654</v>
      </c>
      <c r="K7" s="2">
        <f>J7/I7*J7</f>
        <v>877.8792466464098</v>
      </c>
      <c r="L7" s="14">
        <f t="shared" ref="L7:R12" si="5">101-IF(E7&lt;$T7,1,IF(E7&gt;$U7,100,(((((E7-$T7)/($U7-$T7))*99)+1))))</f>
        <v>54.337220075919248</v>
      </c>
      <c r="M7" s="14">
        <f t="shared" si="5"/>
        <v>35.582511623728152</v>
      </c>
      <c r="N7" s="14">
        <f t="shared" si="5"/>
        <v>53.063752218054418</v>
      </c>
      <c r="O7" s="14">
        <f t="shared" si="5"/>
        <v>51.790284360189595</v>
      </c>
      <c r="P7" s="14">
        <f t="shared" si="5"/>
        <v>50.500000000000007</v>
      </c>
      <c r="Q7" s="14">
        <f t="shared" si="5"/>
        <v>49.192677070828331</v>
      </c>
      <c r="R7" s="14">
        <f t="shared" si="5"/>
        <v>47.868090573564359</v>
      </c>
      <c r="S7">
        <f t="shared" si="1"/>
        <v>855.14525810324142</v>
      </c>
      <c r="T7">
        <f t="shared" si="2"/>
        <v>427.57262905162071</v>
      </c>
      <c r="U7">
        <f t="shared" si="3"/>
        <v>1282.7178871548622</v>
      </c>
      <c r="V7">
        <v>1</v>
      </c>
    </row>
    <row r="8" spans="1:23" x14ac:dyDescent="0.45">
      <c r="A8" t="s">
        <v>264</v>
      </c>
      <c r="B8" t="s">
        <v>8</v>
      </c>
      <c r="C8" t="s">
        <v>16</v>
      </c>
      <c r="D8" t="s">
        <v>10</v>
      </c>
      <c r="E8">
        <f>3856516/Lakosságszám!C3</f>
        <v>2238.6489100236954</v>
      </c>
      <c r="F8">
        <f>3734783/Lakosságszám!D3</f>
        <v>2171.6973309539221</v>
      </c>
      <c r="G8">
        <f>3407495/Lakosságszám!E3</f>
        <v>1999.9113757708399</v>
      </c>
      <c r="H8">
        <f>3359329/Lakosságszám!F3</f>
        <v>1997.8489098546333</v>
      </c>
      <c r="I8">
        <f>3445807/Lakosságszám!G3</f>
        <v>2061.2308378840276</v>
      </c>
      <c r="J8">
        <f>3181262/Lakosságszám!H3</f>
        <v>1895.1729791202617</v>
      </c>
      <c r="K8">
        <f>3455742/Lakosságszám!I3</f>
        <v>2050.0155720273001</v>
      </c>
      <c r="L8" s="14">
        <f t="shared" si="5"/>
        <v>41.390459215792532</v>
      </c>
      <c r="M8" s="14">
        <f t="shared" si="5"/>
        <v>44.623706035158293</v>
      </c>
      <c r="N8" s="14">
        <f t="shared" si="5"/>
        <v>52.919647683204786</v>
      </c>
      <c r="O8" s="14">
        <f t="shared" si="5"/>
        <v>53.019248939161351</v>
      </c>
      <c r="P8" s="14">
        <f t="shared" si="5"/>
        <v>49.958388836179431</v>
      </c>
      <c r="Q8" s="14">
        <f t="shared" si="5"/>
        <v>57.977707441332882</v>
      </c>
      <c r="R8" s="14">
        <f t="shared" si="5"/>
        <v>50.500000000000014</v>
      </c>
      <c r="S8">
        <f t="shared" si="1"/>
        <v>2050.0155720273001</v>
      </c>
      <c r="T8">
        <f t="shared" si="2"/>
        <v>1025.00778601365</v>
      </c>
      <c r="U8">
        <f t="shared" si="3"/>
        <v>3075.0233580409504</v>
      </c>
      <c r="V8">
        <v>0.66</v>
      </c>
    </row>
    <row r="9" spans="1:23" x14ac:dyDescent="0.45">
      <c r="A9" t="s">
        <v>265</v>
      </c>
      <c r="B9" t="s">
        <v>8</v>
      </c>
      <c r="C9" t="s">
        <v>16</v>
      </c>
      <c r="D9" t="s">
        <v>10</v>
      </c>
      <c r="E9">
        <f>206349/Lakosságszám!C3</f>
        <v>119.78245751722008</v>
      </c>
      <c r="F9">
        <f>201084/Lakosságszám!D3</f>
        <v>116.92609345644404</v>
      </c>
      <c r="G9">
        <f>199185/Lakosságszám!E3</f>
        <v>116.90474890877749</v>
      </c>
      <c r="H9">
        <f>192611/Lakosságszám!F3</f>
        <v>114.54896986154402</v>
      </c>
      <c r="I9">
        <f>190788/Lakosságszám!G3</f>
        <v>114.12656283367519</v>
      </c>
      <c r="J9">
        <f>180908/Lakosságszám!H3</f>
        <v>107.77230963896979</v>
      </c>
      <c r="K9">
        <f>186047/Lakosságszám!I3</f>
        <v>110.36681764117897</v>
      </c>
      <c r="L9" s="14">
        <f t="shared" si="5"/>
        <v>45.976910193621308</v>
      </c>
      <c r="M9" s="14">
        <f t="shared" si="5"/>
        <v>48.445549085429988</v>
      </c>
      <c r="N9" s="14">
        <f t="shared" si="5"/>
        <v>48.463996306924358</v>
      </c>
      <c r="O9" s="14">
        <f t="shared" si="5"/>
        <v>50.499999999999986</v>
      </c>
      <c r="P9" s="14">
        <f t="shared" si="5"/>
        <v>50.865069156095942</v>
      </c>
      <c r="Q9" s="14">
        <f t="shared" si="5"/>
        <v>56.356790880317448</v>
      </c>
      <c r="R9" s="14">
        <f t="shared" si="5"/>
        <v>54.114463493792947</v>
      </c>
      <c r="S9">
        <f t="shared" si="1"/>
        <v>114.54896986154402</v>
      </c>
      <c r="T9">
        <f t="shared" si="2"/>
        <v>57.274484930772012</v>
      </c>
      <c r="U9">
        <f t="shared" si="3"/>
        <v>171.82345479231603</v>
      </c>
      <c r="V9">
        <v>0.66</v>
      </c>
    </row>
    <row r="10" spans="1:23" x14ac:dyDescent="0.45">
      <c r="A10" t="s">
        <v>266</v>
      </c>
      <c r="B10" t="s">
        <v>8</v>
      </c>
      <c r="C10" t="s">
        <v>16</v>
      </c>
      <c r="D10" t="s">
        <v>10</v>
      </c>
      <c r="E10">
        <f>41218/Lakosságszám!C3</f>
        <v>23.926422390924003</v>
      </c>
      <c r="F10">
        <f>40882/Lakosságszám!D3</f>
        <v>23.772018423575943</v>
      </c>
      <c r="G10">
        <f>37599/Lakosságszám!E3</f>
        <v>22.067433060828499</v>
      </c>
      <c r="H10">
        <f>37825/Lakosságszám!F3</f>
        <v>22.495157519627138</v>
      </c>
      <c r="I10">
        <f>38438/Lakosságszám!G3</f>
        <v>22.993043704010773</v>
      </c>
      <c r="J10">
        <f>37692/Lakosságszám!H3</f>
        <v>22.454252409578622</v>
      </c>
      <c r="K10">
        <f>40471/Lakosságszám!I3</f>
        <v>24.008210166012642</v>
      </c>
      <c r="L10" s="14">
        <f t="shared" si="5"/>
        <v>46.481198000841829</v>
      </c>
      <c r="M10" s="14">
        <f t="shared" si="5"/>
        <v>47.146007452093009</v>
      </c>
      <c r="N10" s="14">
        <f t="shared" si="5"/>
        <v>54.485355521203175</v>
      </c>
      <c r="O10" s="14">
        <f t="shared" si="5"/>
        <v>52.643723679583225</v>
      </c>
      <c r="P10" s="14">
        <f t="shared" si="5"/>
        <v>50.5</v>
      </c>
      <c r="Q10" s="14">
        <f t="shared" si="5"/>
        <v>52.819846769111244</v>
      </c>
      <c r="R10" s="14">
        <f t="shared" si="5"/>
        <v>46.129048462137519</v>
      </c>
      <c r="S10">
        <f t="shared" si="1"/>
        <v>22.993043704010773</v>
      </c>
      <c r="T10">
        <f t="shared" si="2"/>
        <v>11.496521852005387</v>
      </c>
      <c r="U10">
        <f t="shared" si="3"/>
        <v>34.48956555601616</v>
      </c>
      <c r="V10">
        <v>0.66</v>
      </c>
    </row>
    <row r="11" spans="1:23" x14ac:dyDescent="0.45">
      <c r="A11" t="s">
        <v>26</v>
      </c>
      <c r="B11" t="s">
        <v>8</v>
      </c>
      <c r="C11" s="16" t="s">
        <v>267</v>
      </c>
      <c r="D11" t="s">
        <v>10</v>
      </c>
      <c r="E11">
        <f>14446/Lakosságszám!C3</f>
        <v>8.3856833873377692</v>
      </c>
      <c r="F11">
        <f>14687/Lakosságszám!D3</f>
        <v>8.540179897927203</v>
      </c>
      <c r="G11">
        <f>12957/Lakosságszám!E3</f>
        <v>7.6046631604339181</v>
      </c>
      <c r="H11">
        <f>13027/Lakosságszám!F3</f>
        <v>7.7473738799255178</v>
      </c>
      <c r="I11">
        <f>13808/Lakosságszám!G3</f>
        <v>8.2597415959462186</v>
      </c>
      <c r="J11">
        <f>13267/Lakosságszám!H3</f>
        <v>7.9035489418942895</v>
      </c>
      <c r="K11">
        <f>13112/Lakosságszám!I3</f>
        <v>7.7783017888551749</v>
      </c>
      <c r="L11" s="14">
        <f t="shared" si="5"/>
        <v>44.460775032859551</v>
      </c>
      <c r="M11" s="14">
        <f t="shared" si="5"/>
        <v>42.525548888148911</v>
      </c>
      <c r="N11" s="14">
        <f t="shared" si="5"/>
        <v>54.243848818058289</v>
      </c>
      <c r="O11" s="14">
        <f t="shared" si="5"/>
        <v>52.456251710285819</v>
      </c>
      <c r="P11" s="14">
        <f t="shared" si="5"/>
        <v>46.038324237581143</v>
      </c>
      <c r="Q11" s="14">
        <f t="shared" si="5"/>
        <v>50.5</v>
      </c>
      <c r="R11" s="14">
        <f t="shared" si="5"/>
        <v>52.068848151891181</v>
      </c>
      <c r="S11">
        <f t="shared" si="1"/>
        <v>7.9035489418942895</v>
      </c>
      <c r="T11">
        <f t="shared" si="2"/>
        <v>3.9517744709471447</v>
      </c>
      <c r="U11">
        <f t="shared" si="3"/>
        <v>11.855323412841434</v>
      </c>
      <c r="V11">
        <v>0.66</v>
      </c>
    </row>
    <row r="12" spans="1:23" x14ac:dyDescent="0.45">
      <c r="A12" t="s">
        <v>27</v>
      </c>
      <c r="B12" t="s">
        <v>8</v>
      </c>
      <c r="C12" s="16" t="s">
        <v>28</v>
      </c>
      <c r="D12" t="s">
        <v>10</v>
      </c>
      <c r="E12">
        <v>10</v>
      </c>
      <c r="F12">
        <v>7.6</v>
      </c>
      <c r="G12">
        <v>7.1</v>
      </c>
      <c r="H12">
        <v>6.5</v>
      </c>
      <c r="I12">
        <v>4.5</v>
      </c>
      <c r="J12">
        <v>4</v>
      </c>
      <c r="K12" s="2">
        <f>J12/I12*J12</f>
        <v>3.5555555555555554</v>
      </c>
      <c r="L12" s="14">
        <f t="shared" si="5"/>
        <v>1</v>
      </c>
      <c r="M12" s="14">
        <f t="shared" si="5"/>
        <v>33.746153846153845</v>
      </c>
      <c r="N12" s="14">
        <f t="shared" si="5"/>
        <v>41.361538461538473</v>
      </c>
      <c r="O12" s="14">
        <f t="shared" si="5"/>
        <v>50.5</v>
      </c>
      <c r="P12" s="14">
        <f t="shared" si="5"/>
        <v>80.961538461538453</v>
      </c>
      <c r="Q12" s="14">
        <f t="shared" si="5"/>
        <v>88.57692307692308</v>
      </c>
      <c r="R12" s="14">
        <f t="shared" si="5"/>
        <v>95.346153846153854</v>
      </c>
      <c r="S12">
        <f t="shared" si="1"/>
        <v>6.5</v>
      </c>
      <c r="T12">
        <f t="shared" si="2"/>
        <v>3.25</v>
      </c>
      <c r="U12">
        <f t="shared" si="3"/>
        <v>9.75</v>
      </c>
      <c r="V12">
        <v>0.66</v>
      </c>
    </row>
    <row r="13" spans="1:23" x14ac:dyDescent="0.45">
      <c r="A13" t="s">
        <v>29</v>
      </c>
      <c r="B13" t="s">
        <v>8</v>
      </c>
      <c r="C13" s="11" t="s">
        <v>30</v>
      </c>
      <c r="D13" t="s">
        <v>17</v>
      </c>
      <c r="E13">
        <f>33.9+44.4</f>
        <v>78.3</v>
      </c>
      <c r="F13">
        <f>33.9+44.4</f>
        <v>78.3</v>
      </c>
      <c r="G13">
        <f>33.9+44.4</f>
        <v>78.3</v>
      </c>
      <c r="H13">
        <f>33.9+44.4</f>
        <v>78.3</v>
      </c>
      <c r="I13">
        <f>33.9+44.4</f>
        <v>78.3</v>
      </c>
      <c r="J13">
        <f>34+36.7</f>
        <v>70.7</v>
      </c>
      <c r="K13">
        <f>34+36.7</f>
        <v>70.7</v>
      </c>
      <c r="L13" s="14">
        <f t="shared" ref="L13:R15" si="6">IF(E13&lt;$T13,1,IF(E13&gt;$U13,100,(((((E13-$T13)/($U13-$T13))*99)+1))))</f>
        <v>50.500000000000014</v>
      </c>
      <c r="M13" s="14">
        <f t="shared" si="6"/>
        <v>50.500000000000014</v>
      </c>
      <c r="N13" s="14">
        <f t="shared" si="6"/>
        <v>50.500000000000014</v>
      </c>
      <c r="O13" s="14">
        <f t="shared" si="6"/>
        <v>50.500000000000014</v>
      </c>
      <c r="P13" s="14">
        <f t="shared" si="6"/>
        <v>50.500000000000014</v>
      </c>
      <c r="Q13" s="14">
        <f t="shared" si="6"/>
        <v>40.890804597701162</v>
      </c>
      <c r="R13" s="14">
        <f t="shared" si="6"/>
        <v>40.890804597701162</v>
      </c>
      <c r="S13">
        <f t="shared" si="1"/>
        <v>78.3</v>
      </c>
      <c r="T13">
        <f t="shared" si="2"/>
        <v>39.15</v>
      </c>
      <c r="U13">
        <f t="shared" si="3"/>
        <v>117.44999999999999</v>
      </c>
      <c r="V13">
        <v>0.66</v>
      </c>
    </row>
    <row r="14" spans="1:23" x14ac:dyDescent="0.45">
      <c r="A14" t="s">
        <v>32</v>
      </c>
      <c r="B14" t="s">
        <v>8</v>
      </c>
      <c r="C14" s="6" t="s">
        <v>33</v>
      </c>
      <c r="D14" t="s">
        <v>17</v>
      </c>
      <c r="E14">
        <v>78.400000000000006</v>
      </c>
      <c r="F14">
        <v>78.7</v>
      </c>
      <c r="G14">
        <v>77.5</v>
      </c>
      <c r="H14">
        <v>76.400000000000006</v>
      </c>
      <c r="I14">
        <v>78.099999999999994</v>
      </c>
      <c r="J14">
        <v>78.8</v>
      </c>
      <c r="K14" s="2">
        <f>J14</f>
        <v>78.8</v>
      </c>
      <c r="L14" s="14">
        <f t="shared" si="6"/>
        <v>50.5</v>
      </c>
      <c r="M14" s="14">
        <f t="shared" si="6"/>
        <v>52.394132653061199</v>
      </c>
      <c r="N14" s="14">
        <f t="shared" si="6"/>
        <v>44.817602040816297</v>
      </c>
      <c r="O14" s="14">
        <f t="shared" si="6"/>
        <v>37.872448979591844</v>
      </c>
      <c r="P14" s="14">
        <f t="shared" si="6"/>
        <v>48.605867346938709</v>
      </c>
      <c r="Q14" s="14">
        <f t="shared" si="6"/>
        <v>53.025510204081577</v>
      </c>
      <c r="R14" s="14">
        <f t="shared" si="6"/>
        <v>53.025510204081577</v>
      </c>
      <c r="S14">
        <f t="shared" si="1"/>
        <v>78.400000000000006</v>
      </c>
      <c r="T14">
        <f>S14*0.9</f>
        <v>70.56</v>
      </c>
      <c r="U14">
        <f>S14*1.1</f>
        <v>86.240000000000009</v>
      </c>
      <c r="V14">
        <v>1</v>
      </c>
    </row>
    <row r="15" spans="1:23" x14ac:dyDescent="0.45">
      <c r="A15" t="s">
        <v>35</v>
      </c>
      <c r="B15" t="s">
        <v>8</v>
      </c>
      <c r="C15" s="8" t="s">
        <v>36</v>
      </c>
      <c r="D15" t="s">
        <v>17</v>
      </c>
      <c r="E15">
        <v>61.1</v>
      </c>
      <c r="F15">
        <v>61.7</v>
      </c>
      <c r="G15">
        <v>62.5</v>
      </c>
      <c r="H15">
        <v>62.5</v>
      </c>
      <c r="I15">
        <v>62.6</v>
      </c>
      <c r="J15">
        <v>63.6</v>
      </c>
      <c r="K15" s="2">
        <f>J15/I15*J15</f>
        <v>64.615974440894576</v>
      </c>
      <c r="L15" s="14">
        <f t="shared" si="6"/>
        <v>39.412000000000013</v>
      </c>
      <c r="M15" s="14">
        <f t="shared" si="6"/>
        <v>44.164000000000023</v>
      </c>
      <c r="N15" s="14">
        <f t="shared" si="6"/>
        <v>50.5</v>
      </c>
      <c r="O15" s="14">
        <f t="shared" si="6"/>
        <v>50.5</v>
      </c>
      <c r="P15" s="14">
        <f t="shared" si="6"/>
        <v>51.292000000000009</v>
      </c>
      <c r="Q15" s="14">
        <f t="shared" si="6"/>
        <v>59.21200000000001</v>
      </c>
      <c r="R15" s="14">
        <f t="shared" si="6"/>
        <v>67.258517571885037</v>
      </c>
      <c r="S15">
        <f t="shared" si="1"/>
        <v>62.5</v>
      </c>
      <c r="T15">
        <f>S15*0.9</f>
        <v>56.25</v>
      </c>
      <c r="U15">
        <f>S15*1.1</f>
        <v>68.75</v>
      </c>
      <c r="V15">
        <v>1</v>
      </c>
    </row>
    <row r="16" spans="1:23" x14ac:dyDescent="0.45">
      <c r="A16" t="s">
        <v>37</v>
      </c>
      <c r="B16" t="s">
        <v>8</v>
      </c>
      <c r="C16" t="s">
        <v>16</v>
      </c>
      <c r="D16" t="s">
        <v>10</v>
      </c>
      <c r="E16">
        <f>E146/(911+290)</f>
        <v>1434.3863447127394</v>
      </c>
      <c r="F16">
        <f>F146/(908+291)</f>
        <v>1434.3227689741452</v>
      </c>
      <c r="G16">
        <f>G146/(903+288)</f>
        <v>1430.5818639798488</v>
      </c>
      <c r="H16">
        <f>H146/(888+278)</f>
        <v>1442.0866209262435</v>
      </c>
      <c r="I16">
        <f>I146/(870+274)</f>
        <v>1461.2963286713286</v>
      </c>
      <c r="J16">
        <f>J146/(851+274)</f>
        <v>1492.1004444444445</v>
      </c>
      <c r="K16">
        <f>K146/(830+265)</f>
        <v>1539.4657534246576</v>
      </c>
      <c r="L16" s="14">
        <f t="shared" ref="L16:R17" si="7">101-IF(E16&lt;$T16,1,IF(E16&gt;$U16,100,(((((E16-$T16)/($U16-$T16))*99)+1))))</f>
        <v>51.028627985361418</v>
      </c>
      <c r="M16" s="14">
        <f t="shared" si="7"/>
        <v>51.03299249303349</v>
      </c>
      <c r="N16" s="14">
        <f t="shared" si="7"/>
        <v>51.289807575471102</v>
      </c>
      <c r="O16" s="14">
        <f t="shared" si="7"/>
        <v>50.499999999999986</v>
      </c>
      <c r="P16" s="14">
        <f t="shared" si="7"/>
        <v>49.181243526452</v>
      </c>
      <c r="Q16" s="14">
        <f t="shared" si="7"/>
        <v>47.066524883836955</v>
      </c>
      <c r="R16" s="14">
        <f t="shared" si="7"/>
        <v>43.814871674524696</v>
      </c>
      <c r="S16">
        <f t="shared" si="1"/>
        <v>1442.0866209262435</v>
      </c>
      <c r="T16">
        <f t="shared" ref="T16:T27" si="8">S16*0.5</f>
        <v>721.04331046312177</v>
      </c>
      <c r="U16">
        <f t="shared" ref="U16:U27" si="9">S16*1.5</f>
        <v>2163.1299313893651</v>
      </c>
      <c r="V16">
        <v>0.66</v>
      </c>
    </row>
    <row r="17" spans="1:23" x14ac:dyDescent="0.45">
      <c r="A17" t="s">
        <v>38</v>
      </c>
      <c r="B17" t="s">
        <v>8</v>
      </c>
      <c r="C17" s="3" t="s">
        <v>39</v>
      </c>
      <c r="D17" t="s">
        <v>10</v>
      </c>
      <c r="E17">
        <f>60094/Lakosságszám!C3</f>
        <v>34.883653432000266</v>
      </c>
      <c r="F17">
        <f>45293/Lakosságszám!D3</f>
        <v>26.336921639328441</v>
      </c>
      <c r="G17">
        <f>36807/Lakosságszám!E3</f>
        <v>21.602596044307418</v>
      </c>
      <c r="H17">
        <f>36280/Lakosságszám!F3</f>
        <v>21.576320285844613</v>
      </c>
      <c r="I17">
        <f>42344/Lakosságszám!G3</f>
        <v>25.329555195448052</v>
      </c>
      <c r="J17">
        <f>43019/Lakosságszám!H3</f>
        <v>25.627705730862324</v>
      </c>
      <c r="K17">
        <f>54949/Lakosságszám!I3</f>
        <v>32.596850594554837</v>
      </c>
      <c r="L17" s="14">
        <f t="shared" si="7"/>
        <v>14.744211634241253</v>
      </c>
      <c r="M17" s="14">
        <f t="shared" si="7"/>
        <v>47.760294164623886</v>
      </c>
      <c r="N17" s="14">
        <f t="shared" si="7"/>
        <v>66.049025853260702</v>
      </c>
      <c r="O17" s="14">
        <f t="shared" si="7"/>
        <v>66.150529285332851</v>
      </c>
      <c r="P17" s="14">
        <f t="shared" si="7"/>
        <v>51.65175752819993</v>
      </c>
      <c r="Q17" s="14">
        <f t="shared" si="7"/>
        <v>50.500000000000007</v>
      </c>
      <c r="R17" s="14">
        <f t="shared" si="7"/>
        <v>23.578146411105095</v>
      </c>
      <c r="S17">
        <f t="shared" si="1"/>
        <v>25.627705730862324</v>
      </c>
      <c r="T17">
        <f t="shared" si="8"/>
        <v>12.813852865431162</v>
      </c>
      <c r="U17">
        <f t="shared" si="9"/>
        <v>38.44155859629349</v>
      </c>
      <c r="V17">
        <v>1</v>
      </c>
      <c r="W17" t="s">
        <v>268</v>
      </c>
    </row>
    <row r="18" spans="1:23" x14ac:dyDescent="0.45">
      <c r="A18" t="s">
        <v>40</v>
      </c>
      <c r="B18" t="s">
        <v>8</v>
      </c>
      <c r="C18" s="5" t="s">
        <v>41</v>
      </c>
      <c r="D18" t="s">
        <v>17</v>
      </c>
      <c r="E18">
        <f>3941/Lakosságszám!C3</f>
        <v>2.2876905876711993</v>
      </c>
      <c r="F18">
        <f>4523/Lakosságszám!D3</f>
        <v>2.6300288471658431</v>
      </c>
      <c r="G18">
        <f>2753/Lakosságszám!E3</f>
        <v>1.6157781647506813</v>
      </c>
      <c r="H18">
        <f>2518/Lakosságszám!F3</f>
        <v>1.4974965402358529</v>
      </c>
      <c r="I18">
        <f>3597/Lakosságszám!G3</f>
        <v>2.1516722567076005</v>
      </c>
      <c r="J18">
        <f>3798/Lakosságszám!H3</f>
        <v>2.2625822628562986</v>
      </c>
      <c r="K18">
        <f>4528/Lakosságszám!I3</f>
        <v>2.6861005567370522</v>
      </c>
      <c r="L18" s="14">
        <f t="shared" ref="L18:L27" si="10">IF(E18&lt;$T18,1,IF(E18&gt;$U18,100,(((((E18-$T18)/($U18-$T18))*99)+1))))</f>
        <v>51.598622665563184</v>
      </c>
      <c r="M18" s="14">
        <f t="shared" ref="M18:M27" si="11">IF(F18&lt;$T18,1,IF(F18&gt;$U18,100,(((((F18-$T18)/($U18-$T18))*99)+1))))</f>
        <v>66.577741103089025</v>
      </c>
      <c r="N18" s="14">
        <f t="shared" ref="N18:N27" si="12">IF(G18&lt;$T18,1,IF(G18&gt;$U18,100,(((((G18-$T18)/($U18-$T18))*99)+1))))</f>
        <v>22.198882836808032</v>
      </c>
      <c r="O18" s="14">
        <f t="shared" ref="O18:O27" si="13">IF(H18&lt;$T18,1,IF(H18&gt;$U18,100,(((((H18-$T18)/($U18-$T18))*99)+1))))</f>
        <v>17.023433077829818</v>
      </c>
      <c r="P18" s="14">
        <f t="shared" ref="P18:P27" si="14">IF(I18&lt;$T18,1,IF(I18&gt;$U18,100,(((((I18-$T18)/($U18-$T18))*99)+1))))</f>
        <v>45.647097725914385</v>
      </c>
      <c r="Q18" s="14">
        <f t="shared" ref="Q18:Q27" si="15">IF(J18&lt;$T18,1,IF(J18&gt;$U18,100,(((((J18-$T18)/($U18-$T18))*99)+1))))</f>
        <v>50.5</v>
      </c>
      <c r="R18" s="14">
        <f t="shared" ref="R18:R27" si="16">IF(K18&lt;$T18,1,IF(K18&gt;$U18,100,(((((K18-$T18)/($U18-$T18))*99)+1))))</f>
        <v>69.031176427266786</v>
      </c>
      <c r="S18">
        <f t="shared" si="1"/>
        <v>2.2625822628562986</v>
      </c>
      <c r="T18">
        <f t="shared" si="8"/>
        <v>1.1312911314281493</v>
      </c>
      <c r="U18">
        <f t="shared" si="9"/>
        <v>3.3938733942844479</v>
      </c>
      <c r="V18">
        <v>0.66</v>
      </c>
    </row>
    <row r="19" spans="1:23" x14ac:dyDescent="0.45">
      <c r="A19" t="s">
        <v>43</v>
      </c>
      <c r="B19" t="s">
        <v>8</v>
      </c>
      <c r="C19" s="16" t="s">
        <v>41</v>
      </c>
      <c r="D19" t="s">
        <v>17</v>
      </c>
      <c r="E19">
        <f>188/Lakosságszám!C3</f>
        <v>0.10913114196452309</v>
      </c>
      <c r="F19">
        <f>201/Lakosságszám!D3</f>
        <v>0.11687724923288403</v>
      </c>
      <c r="G19">
        <f>447/Lakosságszám!E3</f>
        <v>0.26235119493045933</v>
      </c>
      <c r="H19">
        <f>319/Lakosságszám!F3</f>
        <v>0.18971461331820375</v>
      </c>
      <c r="I19">
        <f>165/Lakosságszám!G3</f>
        <v>9.8700562234293604E-2</v>
      </c>
      <c r="J19">
        <f>164/Lakosságszám!H3</f>
        <v>9.7699708032762761E-2</v>
      </c>
      <c r="K19">
        <f>199/Lakosságszám!I3</f>
        <v>0.11805079743610279</v>
      </c>
      <c r="L19" s="14">
        <f t="shared" si="10"/>
        <v>43.938717760719058</v>
      </c>
      <c r="M19" s="14">
        <f t="shared" si="11"/>
        <v>50.499999999999993</v>
      </c>
      <c r="N19" s="14">
        <f t="shared" si="12"/>
        <v>100</v>
      </c>
      <c r="O19" s="14">
        <f t="shared" si="13"/>
        <v>100</v>
      </c>
      <c r="P19" s="14">
        <f t="shared" si="14"/>
        <v>35.103573196055706</v>
      </c>
      <c r="Q19" s="14">
        <f t="shared" si="15"/>
        <v>34.255807128648335</v>
      </c>
      <c r="R19" s="14">
        <f t="shared" si="16"/>
        <v>51.494045230198388</v>
      </c>
      <c r="S19">
        <f t="shared" si="1"/>
        <v>0.11687724923288403</v>
      </c>
      <c r="T19">
        <f t="shared" si="8"/>
        <v>5.8438624616442017E-2</v>
      </c>
      <c r="U19">
        <f t="shared" si="9"/>
        <v>0.17531587384932606</v>
      </c>
      <c r="V19">
        <v>0.66</v>
      </c>
    </row>
    <row r="20" spans="1:23" x14ac:dyDescent="0.45">
      <c r="A20" t="s">
        <v>44</v>
      </c>
      <c r="B20" t="s">
        <v>8</v>
      </c>
      <c r="C20" s="16" t="s">
        <v>269</v>
      </c>
      <c r="D20" t="s">
        <v>17</v>
      </c>
      <c r="E20">
        <f>1189/Lakosságszám!C3</f>
        <v>0.69019642444584017</v>
      </c>
      <c r="F20">
        <f>1223/Lakosságszám!D3</f>
        <v>0.71114863587968735</v>
      </c>
      <c r="G20">
        <f>1199/Lakosságszám!E3</f>
        <v>0.70371159445552733</v>
      </c>
      <c r="H20">
        <f>1201/Lakosságszám!F3</f>
        <v>0.71425470406007119</v>
      </c>
      <c r="I20">
        <f>1058/Lakosságszám!G3</f>
        <v>0.63287996875080388</v>
      </c>
      <c r="J20">
        <f>1140/Lakosságszám!H3</f>
        <v>0.67913211681310703</v>
      </c>
      <c r="K20">
        <f>1421/Lakosságszám!I3</f>
        <v>0.84296574450604056</v>
      </c>
      <c r="L20" s="14">
        <f t="shared" si="10"/>
        <v>48.598650297222591</v>
      </c>
      <c r="M20" s="14">
        <f t="shared" si="11"/>
        <v>51.546262569485584</v>
      </c>
      <c r="N20" s="14">
        <f t="shared" si="12"/>
        <v>50.499999999999993</v>
      </c>
      <c r="O20" s="14">
        <f t="shared" si="13"/>
        <v>51.98323241946499</v>
      </c>
      <c r="P20" s="14">
        <f t="shared" si="14"/>
        <v>40.535220394239524</v>
      </c>
      <c r="Q20" s="14">
        <f t="shared" si="15"/>
        <v>47.042094366823171</v>
      </c>
      <c r="R20" s="14">
        <f t="shared" si="16"/>
        <v>70.090640489115955</v>
      </c>
      <c r="S20">
        <f t="shared" si="1"/>
        <v>0.70371159445552733</v>
      </c>
      <c r="T20">
        <f t="shared" si="8"/>
        <v>0.35185579722776367</v>
      </c>
      <c r="U20">
        <f t="shared" si="9"/>
        <v>1.0555673916832911</v>
      </c>
      <c r="V20">
        <v>0.66</v>
      </c>
    </row>
    <row r="21" spans="1:23" x14ac:dyDescent="0.45">
      <c r="A21" t="s">
        <v>45</v>
      </c>
      <c r="B21" t="s">
        <v>8</v>
      </c>
      <c r="C21" s="16" t="s">
        <v>269</v>
      </c>
      <c r="D21" t="s">
        <v>17</v>
      </c>
      <c r="E21">
        <f>33.9/Lakosságszám!C3</f>
        <v>1.9678434641475173E-2</v>
      </c>
      <c r="F21">
        <f>29.2/Lakosságszám!D3</f>
        <v>1.6979182475622953E-2</v>
      </c>
      <c r="G21">
        <f>27.1/Lakosságszám!E3</f>
        <v>1.5905408014799661E-2</v>
      </c>
      <c r="H21">
        <f>27.2/Lakosságszám!F3</f>
        <v>1.6176293047821762E-2</v>
      </c>
      <c r="I21">
        <f>24.5/Lakosságszám!G3</f>
        <v>1.4655538028728444E-2</v>
      </c>
      <c r="J21">
        <f>23.6/Lakosságszám!H3</f>
        <v>1.4059226277885374E-2</v>
      </c>
      <c r="K21">
        <f>25.1/Lakosságszám!I3</f>
        <v>1.4889824199227035E-2</v>
      </c>
      <c r="L21" s="14">
        <f t="shared" si="10"/>
        <v>73.984442253434409</v>
      </c>
      <c r="M21" s="14">
        <f t="shared" si="11"/>
        <v>57.183492276500687</v>
      </c>
      <c r="N21" s="14">
        <f t="shared" si="12"/>
        <v>50.499999999999986</v>
      </c>
      <c r="O21" s="14">
        <f t="shared" si="13"/>
        <v>52.186069181264301</v>
      </c>
      <c r="P21" s="14">
        <f t="shared" si="14"/>
        <v>42.720436690092093</v>
      </c>
      <c r="Q21" s="14">
        <f t="shared" si="15"/>
        <v>39.008814625538129</v>
      </c>
      <c r="R21" s="14">
        <f t="shared" si="16"/>
        <v>44.178703642928426</v>
      </c>
      <c r="S21">
        <f t="shared" si="1"/>
        <v>1.5905408014799661E-2</v>
      </c>
      <c r="T21">
        <f t="shared" si="8"/>
        <v>7.9527040073998304E-3</v>
      </c>
      <c r="U21">
        <f t="shared" si="9"/>
        <v>2.3858112022199493E-2</v>
      </c>
      <c r="V21">
        <v>0.66</v>
      </c>
    </row>
    <row r="22" spans="1:23" x14ac:dyDescent="0.45">
      <c r="A22" t="s">
        <v>46</v>
      </c>
      <c r="B22" t="s">
        <v>8</v>
      </c>
      <c r="C22" s="16" t="s">
        <v>269</v>
      </c>
      <c r="D22" t="s">
        <v>17</v>
      </c>
      <c r="E22">
        <f>4595/Lakosságszám!C3</f>
        <v>2.6673276453562957</v>
      </c>
      <c r="F22">
        <f>4534/Lakosságszám!D3</f>
        <v>2.636425114536797</v>
      </c>
      <c r="G22">
        <f>1707/Lakosságszám!E3</f>
        <v>1.0018646303049084</v>
      </c>
      <c r="H22">
        <f>2004/Lakosságszám!F3</f>
        <v>1.1918121789645151</v>
      </c>
      <c r="I22">
        <f>2561/Lakosságszám!G3</f>
        <v>1.5319523629213692</v>
      </c>
      <c r="J22">
        <f>3200/Lakosságszám!H3</f>
        <v>1.9063357664929319</v>
      </c>
      <c r="K22">
        <f>3479/Lakosságszám!I3</f>
        <v>2.0638126848251335</v>
      </c>
      <c r="L22" s="14">
        <f t="shared" si="10"/>
        <v>90.019898504591339</v>
      </c>
      <c r="M22" s="14">
        <f t="shared" si="11"/>
        <v>88.415065502502401</v>
      </c>
      <c r="N22" s="14">
        <f t="shared" si="12"/>
        <v>3.5289238357285324</v>
      </c>
      <c r="O22" s="14">
        <f t="shared" si="13"/>
        <v>13.393296968639998</v>
      </c>
      <c r="P22" s="14">
        <f t="shared" si="14"/>
        <v>31.057487508210095</v>
      </c>
      <c r="Q22" s="14">
        <f t="shared" si="15"/>
        <v>50.499999999999993</v>
      </c>
      <c r="R22" s="14">
        <f t="shared" si="16"/>
        <v>58.678105446539</v>
      </c>
      <c r="S22">
        <f t="shared" si="1"/>
        <v>1.9063357664929319</v>
      </c>
      <c r="T22">
        <f t="shared" si="8"/>
        <v>0.95316788324646595</v>
      </c>
      <c r="U22">
        <f t="shared" si="9"/>
        <v>2.859503649739398</v>
      </c>
      <c r="V22">
        <v>0.66</v>
      </c>
    </row>
    <row r="23" spans="1:23" x14ac:dyDescent="0.45">
      <c r="A23" t="s">
        <v>47</v>
      </c>
      <c r="B23" t="s">
        <v>8</v>
      </c>
      <c r="C23" s="16" t="s">
        <v>269</v>
      </c>
      <c r="D23" t="s">
        <v>17</v>
      </c>
      <c r="E23">
        <f>581/Lakosságszám!C3</f>
        <v>0.33726166745419101</v>
      </c>
      <c r="F23">
        <f>410/Lakosságszám!D3</f>
        <v>0.23840632928100722</v>
      </c>
      <c r="G23">
        <f>505/Lakosságszám!E3</f>
        <v>0.29639228957468</v>
      </c>
      <c r="H23">
        <f>439/Lakosságszám!F3</f>
        <v>0.2610806120585939</v>
      </c>
      <c r="I23">
        <f>347/Lakosságszám!G3</f>
        <v>0.20757027330484776</v>
      </c>
      <c r="J23">
        <f>476/Lakosságszám!H3</f>
        <v>0.28356744526582361</v>
      </c>
      <c r="K23">
        <f>610/Lakosságszám!I3</f>
        <v>0.36186425344735024</v>
      </c>
      <c r="L23" s="14">
        <f t="shared" si="10"/>
        <v>69.2459036126847</v>
      </c>
      <c r="M23" s="14">
        <f t="shared" si="11"/>
        <v>34.733202516228076</v>
      </c>
      <c r="N23" s="14">
        <f t="shared" si="12"/>
        <v>54.977451864710957</v>
      </c>
      <c r="O23" s="14">
        <f t="shared" si="13"/>
        <v>42.649322763659121</v>
      </c>
      <c r="P23" s="14">
        <f t="shared" si="14"/>
        <v>23.967617141016753</v>
      </c>
      <c r="Q23" s="14">
        <f t="shared" si="15"/>
        <v>50.500000000000014</v>
      </c>
      <c r="R23" s="14">
        <f t="shared" si="16"/>
        <v>77.835239426743044</v>
      </c>
      <c r="S23">
        <f t="shared" si="1"/>
        <v>0.28356744526582361</v>
      </c>
      <c r="T23">
        <f t="shared" si="8"/>
        <v>0.14178372263291181</v>
      </c>
      <c r="U23">
        <f t="shared" si="9"/>
        <v>0.42535116789873539</v>
      </c>
      <c r="V23">
        <v>0.66</v>
      </c>
    </row>
    <row r="24" spans="1:23" x14ac:dyDescent="0.45">
      <c r="A24" t="s">
        <v>48</v>
      </c>
      <c r="B24" t="s">
        <v>8</v>
      </c>
      <c r="C24" s="16" t="s">
        <v>269</v>
      </c>
      <c r="D24" t="s">
        <v>17</v>
      </c>
      <c r="E24">
        <f>3873/Lakosságszám!C3</f>
        <v>2.2482176214287124</v>
      </c>
      <c r="F24">
        <f>3288/Lakosságszám!D3</f>
        <v>1.911902465063297</v>
      </c>
      <c r="G24">
        <f>2079/Lakosságszám!E3</f>
        <v>1.220197168367841</v>
      </c>
      <c r="H24">
        <f>2395/Lakosságszám!F3</f>
        <v>1.424346391526953</v>
      </c>
      <c r="I24">
        <f>3042/Lakosságszám!G3</f>
        <v>1.8196794564649765</v>
      </c>
      <c r="J24">
        <f>4398/Lakosságszám!H3</f>
        <v>2.6200202190737234</v>
      </c>
      <c r="K24">
        <f>5411/Lakosságszám!I3</f>
        <v>3.2099138941042824</v>
      </c>
      <c r="L24" s="14">
        <f t="shared" si="10"/>
        <v>67.914696140931966</v>
      </c>
      <c r="M24" s="14">
        <f t="shared" si="11"/>
        <v>50.499999999999993</v>
      </c>
      <c r="N24" s="14">
        <f t="shared" si="12"/>
        <v>14.682888183794965</v>
      </c>
      <c r="O24" s="14">
        <f t="shared" si="13"/>
        <v>25.253915452219442</v>
      </c>
      <c r="P24" s="14">
        <f t="shared" si="14"/>
        <v>45.724611078195629</v>
      </c>
      <c r="Q24" s="14">
        <f t="shared" si="15"/>
        <v>87.166963366623051</v>
      </c>
      <c r="R24" s="14">
        <f t="shared" si="16"/>
        <v>100</v>
      </c>
      <c r="S24">
        <f t="shared" si="1"/>
        <v>1.911902465063297</v>
      </c>
      <c r="T24">
        <f t="shared" si="8"/>
        <v>0.95595123253164849</v>
      </c>
      <c r="U24">
        <f t="shared" si="9"/>
        <v>2.8678536975949456</v>
      </c>
      <c r="V24">
        <v>0.66</v>
      </c>
    </row>
    <row r="25" spans="1:23" x14ac:dyDescent="0.45">
      <c r="A25" t="s">
        <v>49</v>
      </c>
      <c r="B25" t="s">
        <v>8</v>
      </c>
      <c r="C25" s="16" t="s">
        <v>269</v>
      </c>
      <c r="D25" t="s">
        <v>17</v>
      </c>
      <c r="E25">
        <f>3023/Lakosságszám!C3</f>
        <v>1.754805543397624</v>
      </c>
      <c r="F25">
        <f>890/Lakosságszám!D3</f>
        <v>0.51751617819535711</v>
      </c>
      <c r="G25">
        <f>297/Lakosságszám!E3</f>
        <v>0.17431388119540586</v>
      </c>
      <c r="H25">
        <f>335/Lakosságszám!F3</f>
        <v>0.19923007981692242</v>
      </c>
      <c r="I25">
        <f>512/Lakosságszám!G3</f>
        <v>0.30627083553914136</v>
      </c>
      <c r="J25">
        <f>640/Lakosságszám!H3</f>
        <v>0.3812671532985864</v>
      </c>
      <c r="K25">
        <f>878/Lakosságszám!I3</f>
        <v>0.52084723692913693</v>
      </c>
      <c r="L25" s="14">
        <f t="shared" si="10"/>
        <v>100</v>
      </c>
      <c r="M25" s="14">
        <f t="shared" si="11"/>
        <v>85.878482903867592</v>
      </c>
      <c r="N25" s="14">
        <f t="shared" si="12"/>
        <v>1</v>
      </c>
      <c r="O25" s="14">
        <f t="shared" si="13"/>
        <v>3.2321718675009934</v>
      </c>
      <c r="P25" s="14">
        <f t="shared" si="14"/>
        <v>31.026422499421258</v>
      </c>
      <c r="Q25" s="14">
        <f t="shared" si="15"/>
        <v>50.500000000000014</v>
      </c>
      <c r="R25" s="14">
        <f t="shared" si="16"/>
        <v>86.743427108452508</v>
      </c>
      <c r="S25">
        <f t="shared" si="1"/>
        <v>0.3812671532985864</v>
      </c>
      <c r="T25">
        <f t="shared" si="8"/>
        <v>0.1906335766492932</v>
      </c>
      <c r="U25">
        <f t="shared" si="9"/>
        <v>0.57190072994787955</v>
      </c>
      <c r="V25">
        <v>0.66</v>
      </c>
    </row>
    <row r="26" spans="1:23" x14ac:dyDescent="0.45">
      <c r="A26" t="s">
        <v>50</v>
      </c>
      <c r="B26" t="s">
        <v>8</v>
      </c>
      <c r="C26" s="16" t="s">
        <v>270</v>
      </c>
      <c r="D26" t="s">
        <v>17</v>
      </c>
      <c r="E26">
        <f>18336/Lakosságszám!C3</f>
        <v>10.643769250327102</v>
      </c>
      <c r="F26">
        <f>15533/Lakosságszám!D3</f>
        <v>9.0321110066387451</v>
      </c>
      <c r="G26">
        <f>10172/Lakosságszám!E3</f>
        <v>5.9701037020864254</v>
      </c>
      <c r="H26">
        <f>8453/Lakosságszám!F3</f>
        <v>5.0271398946043142</v>
      </c>
      <c r="I26">
        <f>16242/Lakosságszám!G3</f>
        <v>9.7157244352084646</v>
      </c>
      <c r="J26">
        <f>17075/Lakosságszám!H3</f>
        <v>10.172088504020879</v>
      </c>
      <c r="K26">
        <f>17122/Lakosságszám!I3</f>
        <v>10.157114340205789</v>
      </c>
      <c r="L26" s="14">
        <f t="shared" si="10"/>
        <v>59.956467946311591</v>
      </c>
      <c r="M26" s="14">
        <f t="shared" si="11"/>
        <v>43.534206571035782</v>
      </c>
      <c r="N26" s="14">
        <f t="shared" si="12"/>
        <v>12.333370732984822</v>
      </c>
      <c r="O26" s="14">
        <f t="shared" si="13"/>
        <v>2.7248832173829074</v>
      </c>
      <c r="P26" s="14">
        <f t="shared" si="14"/>
        <v>50.5</v>
      </c>
      <c r="Q26" s="14">
        <f t="shared" si="15"/>
        <v>55.150198048917765</v>
      </c>
      <c r="R26" s="14">
        <f t="shared" si="16"/>
        <v>54.997616300888581</v>
      </c>
      <c r="S26">
        <f t="shared" si="1"/>
        <v>9.7157244352084646</v>
      </c>
      <c r="T26">
        <f t="shared" si="8"/>
        <v>4.8578622176042323</v>
      </c>
      <c r="U26">
        <f t="shared" si="9"/>
        <v>14.573586652812697</v>
      </c>
      <c r="V26">
        <v>0.66</v>
      </c>
    </row>
    <row r="27" spans="1:23" x14ac:dyDescent="0.45">
      <c r="A27" t="s">
        <v>52</v>
      </c>
      <c r="B27" t="s">
        <v>8</v>
      </c>
      <c r="C27" s="16" t="s">
        <v>271</v>
      </c>
      <c r="D27" t="s">
        <v>17</v>
      </c>
      <c r="E27">
        <f>256630/Lakosságszám!C3</f>
        <v>148.96981362955086</v>
      </c>
      <c r="F27">
        <f>245317/Lakosságszám!D3</f>
        <v>142.6466475127533</v>
      </c>
      <c r="G27">
        <f>129695/Lakosságszám!E3</f>
        <v>76.119996032451724</v>
      </c>
      <c r="H27">
        <f>132658/Lakosságszám!F3</f>
        <v>78.893922174188944</v>
      </c>
      <c r="I27">
        <f>232100/Lakosságszám!G3</f>
        <v>138.83879087623967</v>
      </c>
      <c r="J27">
        <f>242041/Lakosságszám!H3</f>
        <v>144.19106726803616</v>
      </c>
      <c r="K27">
        <f>257414/Lakosságszám!I3</f>
        <v>152.70315563425609</v>
      </c>
      <c r="L27" s="14">
        <f t="shared" si="10"/>
        <v>54.888420313256859</v>
      </c>
      <c r="M27" s="14">
        <f t="shared" si="11"/>
        <v>50.5</v>
      </c>
      <c r="N27" s="14">
        <f t="shared" si="12"/>
        <v>4.3289990589437188</v>
      </c>
      <c r="O27" s="14">
        <f t="shared" si="13"/>
        <v>6.2541665467210432</v>
      </c>
      <c r="P27" s="14">
        <f t="shared" si="14"/>
        <v>47.857261361637356</v>
      </c>
      <c r="Q27" s="14">
        <f t="shared" si="15"/>
        <v>51.571862244497076</v>
      </c>
      <c r="R27" s="14">
        <f t="shared" si="16"/>
        <v>57.479444111644931</v>
      </c>
      <c r="S27">
        <f t="shared" si="1"/>
        <v>142.6466475127533</v>
      </c>
      <c r="T27">
        <f t="shared" si="8"/>
        <v>71.323323756376652</v>
      </c>
      <c r="U27">
        <f t="shared" si="9"/>
        <v>213.96997126912996</v>
      </c>
      <c r="V27">
        <v>0.66</v>
      </c>
    </row>
    <row r="28" spans="1:23" x14ac:dyDescent="0.45">
      <c r="A28" t="s">
        <v>54</v>
      </c>
      <c r="B28" t="s">
        <v>8</v>
      </c>
      <c r="C28" t="s">
        <v>55</v>
      </c>
      <c r="D28" t="s">
        <v>17</v>
      </c>
      <c r="E28">
        <f>F28</f>
        <v>66.12</v>
      </c>
      <c r="F28">
        <v>66.12</v>
      </c>
      <c r="G28">
        <v>64.599999999999994</v>
      </c>
      <c r="H28">
        <v>58.3</v>
      </c>
      <c r="I28">
        <f>H28</f>
        <v>58.3</v>
      </c>
      <c r="J28">
        <v>53.8</v>
      </c>
      <c r="K28">
        <v>57.1</v>
      </c>
      <c r="L28" s="14">
        <f>M28</f>
        <v>66.12</v>
      </c>
      <c r="M28" s="14">
        <f t="shared" ref="M28:O30" si="17">F28</f>
        <v>66.12</v>
      </c>
      <c r="N28" s="14">
        <f t="shared" si="17"/>
        <v>64.599999999999994</v>
      </c>
      <c r="O28" s="14">
        <f t="shared" si="17"/>
        <v>58.3</v>
      </c>
      <c r="P28" s="14">
        <f>O28</f>
        <v>58.3</v>
      </c>
      <c r="Q28" s="14">
        <f t="shared" ref="Q28:R30" si="18">J28</f>
        <v>53.8</v>
      </c>
      <c r="R28" s="14">
        <f t="shared" si="18"/>
        <v>57.1</v>
      </c>
      <c r="V28">
        <v>1</v>
      </c>
    </row>
    <row r="29" spans="1:23" x14ac:dyDescent="0.45">
      <c r="A29" t="s">
        <v>57</v>
      </c>
      <c r="B29" t="s">
        <v>8</v>
      </c>
      <c r="C29" s="4" t="s">
        <v>55</v>
      </c>
      <c r="D29" t="s">
        <v>17</v>
      </c>
      <c r="E29">
        <f>F29</f>
        <v>51.76</v>
      </c>
      <c r="F29">
        <v>51.76</v>
      </c>
      <c r="G29">
        <v>49.5</v>
      </c>
      <c r="H29">
        <v>48</v>
      </c>
      <c r="I29">
        <f>H29</f>
        <v>48</v>
      </c>
      <c r="J29">
        <v>47</v>
      </c>
      <c r="K29">
        <v>48.5</v>
      </c>
      <c r="L29" s="14">
        <f>M29</f>
        <v>51.76</v>
      </c>
      <c r="M29" s="14">
        <f t="shared" si="17"/>
        <v>51.76</v>
      </c>
      <c r="N29" s="14">
        <f t="shared" si="17"/>
        <v>49.5</v>
      </c>
      <c r="O29" s="14">
        <f t="shared" si="17"/>
        <v>48</v>
      </c>
      <c r="P29" s="14">
        <f>O29</f>
        <v>48</v>
      </c>
      <c r="Q29" s="14">
        <f t="shared" si="18"/>
        <v>47</v>
      </c>
      <c r="R29" s="14">
        <f t="shared" si="18"/>
        <v>48.5</v>
      </c>
      <c r="V29">
        <v>1</v>
      </c>
    </row>
    <row r="30" spans="1:23" x14ac:dyDescent="0.45">
      <c r="A30" t="s">
        <v>58</v>
      </c>
      <c r="B30" t="s">
        <v>8</v>
      </c>
      <c r="C30" s="4" t="s">
        <v>55</v>
      </c>
      <c r="D30" t="s">
        <v>17</v>
      </c>
      <c r="E30">
        <f>F30</f>
        <v>63.82</v>
      </c>
      <c r="F30">
        <v>63.82</v>
      </c>
      <c r="G30">
        <v>72.7</v>
      </c>
      <c r="H30">
        <v>77.8</v>
      </c>
      <c r="I30">
        <f>H30</f>
        <v>77.8</v>
      </c>
      <c r="J30">
        <v>80.3</v>
      </c>
      <c r="K30">
        <v>77.400000000000006</v>
      </c>
      <c r="L30" s="14">
        <f>M30</f>
        <v>63.82</v>
      </c>
      <c r="M30" s="14">
        <f t="shared" si="17"/>
        <v>63.82</v>
      </c>
      <c r="N30" s="14">
        <f t="shared" si="17"/>
        <v>72.7</v>
      </c>
      <c r="O30" s="14">
        <f t="shared" si="17"/>
        <v>77.8</v>
      </c>
      <c r="P30" s="14">
        <f>O30</f>
        <v>77.8</v>
      </c>
      <c r="Q30" s="14">
        <f t="shared" si="18"/>
        <v>80.3</v>
      </c>
      <c r="R30" s="14">
        <f t="shared" si="18"/>
        <v>77.400000000000006</v>
      </c>
      <c r="V30">
        <v>1</v>
      </c>
    </row>
    <row r="31" spans="1:23" x14ac:dyDescent="0.45">
      <c r="A31" t="s">
        <v>59</v>
      </c>
      <c r="B31" t="s">
        <v>8</v>
      </c>
      <c r="C31" s="12" t="s">
        <v>60</v>
      </c>
      <c r="D31" t="s">
        <v>10</v>
      </c>
      <c r="E31">
        <v>5.2</v>
      </c>
      <c r="F31">
        <v>4.8</v>
      </c>
      <c r="G31">
        <v>5.5</v>
      </c>
      <c r="H31">
        <v>5.3</v>
      </c>
      <c r="I31">
        <v>4.7</v>
      </c>
      <c r="J31">
        <v>3.1</v>
      </c>
      <c r="K31">
        <v>2.7</v>
      </c>
      <c r="L31" s="14">
        <f t="shared" ref="L31:R32" si="19">101-IF(E31&lt;$T31,1,IF(E31&gt;$U31,100,(((((E31-$T31)/($U31-$T31))*99)+1))))</f>
        <v>42.249999999999986</v>
      </c>
      <c r="M31" s="14">
        <f t="shared" si="19"/>
        <v>50.499999999999986</v>
      </c>
      <c r="N31" s="14">
        <f t="shared" si="19"/>
        <v>36.062499999999986</v>
      </c>
      <c r="O31" s="14">
        <f t="shared" si="19"/>
        <v>40.187499999999993</v>
      </c>
      <c r="P31" s="14">
        <f t="shared" si="19"/>
        <v>52.562499999999979</v>
      </c>
      <c r="Q31" s="14">
        <f t="shared" si="19"/>
        <v>85.5625</v>
      </c>
      <c r="R31" s="14">
        <f t="shared" si="19"/>
        <v>93.8125</v>
      </c>
      <c r="S31">
        <f t="shared" ref="S31:S49" si="20">MEDIAN(E31:K31)</f>
        <v>4.8</v>
      </c>
      <c r="T31">
        <f t="shared" ref="T31:T49" si="21">S31*0.5</f>
        <v>2.4</v>
      </c>
      <c r="U31">
        <f t="shared" ref="U31:U49" si="22">S31*1.5</f>
        <v>7.1999999999999993</v>
      </c>
      <c r="V31">
        <v>0.66</v>
      </c>
    </row>
    <row r="32" spans="1:23" x14ac:dyDescent="0.45">
      <c r="A32" t="s">
        <v>61</v>
      </c>
      <c r="B32" t="s">
        <v>8</v>
      </c>
      <c r="C32" s="6" t="s">
        <v>62</v>
      </c>
      <c r="D32" t="s">
        <v>10</v>
      </c>
      <c r="E32">
        <v>3550</v>
      </c>
      <c r="F32">
        <v>3309</v>
      </c>
      <c r="G32">
        <v>3067</v>
      </c>
      <c r="H32">
        <v>2851</v>
      </c>
      <c r="I32">
        <v>2682</v>
      </c>
      <c r="J32">
        <v>2473</v>
      </c>
      <c r="K32">
        <v>2341</v>
      </c>
      <c r="L32" s="14">
        <f t="shared" si="19"/>
        <v>26.227464047702568</v>
      </c>
      <c r="M32" s="14">
        <f t="shared" si="19"/>
        <v>34.596106629252887</v>
      </c>
      <c r="N32" s="14">
        <f t="shared" si="19"/>
        <v>42.999473868817958</v>
      </c>
      <c r="O32" s="14">
        <f t="shared" si="19"/>
        <v>50.5</v>
      </c>
      <c r="P32" s="14">
        <f t="shared" si="19"/>
        <v>56.368467204489654</v>
      </c>
      <c r="Q32" s="14">
        <f t="shared" si="19"/>
        <v>63.625920729568577</v>
      </c>
      <c r="R32" s="14">
        <f t="shared" si="19"/>
        <v>68.209575587513143</v>
      </c>
      <c r="S32">
        <f t="shared" si="20"/>
        <v>2851</v>
      </c>
      <c r="T32">
        <f t="shared" si="21"/>
        <v>1425.5</v>
      </c>
      <c r="U32">
        <f t="shared" si="22"/>
        <v>4276.5</v>
      </c>
      <c r="V32">
        <v>1</v>
      </c>
      <c r="W32" t="s">
        <v>272</v>
      </c>
    </row>
    <row r="33" spans="1:23" x14ac:dyDescent="0.45">
      <c r="A33" t="s">
        <v>64</v>
      </c>
      <c r="B33" t="s">
        <v>65</v>
      </c>
      <c r="C33" t="s">
        <v>16</v>
      </c>
      <c r="D33" t="s">
        <v>17</v>
      </c>
      <c r="E33">
        <v>44470</v>
      </c>
      <c r="F33">
        <v>44048</v>
      </c>
      <c r="G33">
        <v>43249</v>
      </c>
      <c r="H33">
        <v>43536</v>
      </c>
      <c r="I33">
        <v>43228</v>
      </c>
      <c r="J33">
        <v>41171</v>
      </c>
      <c r="K33">
        <v>40120</v>
      </c>
      <c r="L33" s="14">
        <f t="shared" ref="L33:L49" si="23">IF(E33&lt;$T33,1,IF(E33&gt;$U33,100,(((((E33-$T33)/($U33-$T33))*99)+1))))</f>
        <v>53.294954796642699</v>
      </c>
      <c r="M33" s="14">
        <f t="shared" ref="M33:M49" si="24">IF(F33&lt;$T33,1,IF(F33&gt;$U33,100,(((((F33-$T33)/($U33-$T33))*99)+1))))</f>
        <v>52.32896714374899</v>
      </c>
      <c r="N33" s="14">
        <f t="shared" ref="N33:N49" si="25">IF(G33&lt;$T33,1,IF(G33&gt;$U33,100,(((((G33-$T33)/($U33-$T33))*99)+1))))</f>
        <v>50.5</v>
      </c>
      <c r="O33" s="14">
        <f t="shared" ref="O33:O49" si="26">IF(H33&lt;$T33,1,IF(H33&gt;$U33,100,(((((H33-$T33)/($U33-$T33))*99)+1))))</f>
        <v>51.156963166778418</v>
      </c>
      <c r="P33" s="14">
        <f t="shared" ref="P33:P49" si="27">IF(I33&lt;$T33,1,IF(I33&gt;$U33,100,(((((I33-$T33)/($U33-$T33))*99)+1))))</f>
        <v>50.451929524382066</v>
      </c>
      <c r="Q33" s="14">
        <f t="shared" ref="Q33:Q49" si="28">IF(J33&lt;$T33,1,IF(J33&gt;$U33,100,(((((J33-$T33)/($U33-$T33))*99)+1))))</f>
        <v>45.743311984092117</v>
      </c>
      <c r="R33" s="14">
        <f t="shared" ref="R33:R49" si="29">IF(K33&lt;$T33,1,IF(K33&gt;$U33,100,(((((K33-$T33)/($U33-$T33))*99)+1))))</f>
        <v>43.337499132927931</v>
      </c>
      <c r="S33">
        <f t="shared" si="20"/>
        <v>43249</v>
      </c>
      <c r="T33">
        <f t="shared" si="21"/>
        <v>21624.5</v>
      </c>
      <c r="U33">
        <f t="shared" si="22"/>
        <v>64873.5</v>
      </c>
      <c r="V33">
        <v>0.66</v>
      </c>
    </row>
    <row r="34" spans="1:23" x14ac:dyDescent="0.45">
      <c r="A34" t="s">
        <v>66</v>
      </c>
      <c r="B34" t="s">
        <v>65</v>
      </c>
      <c r="C34" t="s">
        <v>16</v>
      </c>
      <c r="D34" t="s">
        <v>17</v>
      </c>
      <c r="E34">
        <v>4107</v>
      </c>
      <c r="F34">
        <v>3994</v>
      </c>
      <c r="G34">
        <v>3827</v>
      </c>
      <c r="H34">
        <v>3739</v>
      </c>
      <c r="I34">
        <v>3632</v>
      </c>
      <c r="J34">
        <v>3256</v>
      </c>
      <c r="K34">
        <v>3134</v>
      </c>
      <c r="L34" s="14">
        <f t="shared" si="23"/>
        <v>60.243781759828835</v>
      </c>
      <c r="M34" s="14">
        <f t="shared" si="24"/>
        <v>57.251805295533565</v>
      </c>
      <c r="N34" s="14">
        <f t="shared" si="25"/>
        <v>52.830034768654727</v>
      </c>
      <c r="O34" s="14">
        <f t="shared" si="26"/>
        <v>50.5</v>
      </c>
      <c r="P34" s="14">
        <f t="shared" si="27"/>
        <v>47.666889542658467</v>
      </c>
      <c r="Q34" s="14">
        <f t="shared" si="28"/>
        <v>37.711286440224661</v>
      </c>
      <c r="R34" s="14">
        <f t="shared" si="29"/>
        <v>34.481010965498797</v>
      </c>
      <c r="S34">
        <f t="shared" si="20"/>
        <v>3739</v>
      </c>
      <c r="T34">
        <f t="shared" si="21"/>
        <v>1869.5</v>
      </c>
      <c r="U34">
        <f t="shared" si="22"/>
        <v>5608.5</v>
      </c>
      <c r="V34">
        <v>0.66</v>
      </c>
    </row>
    <row r="35" spans="1:23" x14ac:dyDescent="0.45">
      <c r="A35" t="s">
        <v>67</v>
      </c>
      <c r="B35" t="s">
        <v>65</v>
      </c>
      <c r="C35" t="s">
        <v>16</v>
      </c>
      <c r="D35" t="s">
        <v>17</v>
      </c>
      <c r="E35">
        <v>28846</v>
      </c>
      <c r="F35">
        <v>30235</v>
      </c>
      <c r="G35">
        <v>30547</v>
      </c>
      <c r="H35">
        <v>31621</v>
      </c>
      <c r="I35">
        <v>29937</v>
      </c>
      <c r="J35">
        <v>29186</v>
      </c>
      <c r="K35">
        <v>28867</v>
      </c>
      <c r="L35" s="14">
        <f t="shared" si="23"/>
        <v>46.892123459264454</v>
      </c>
      <c r="M35" s="14">
        <f t="shared" si="24"/>
        <v>51.485469485920433</v>
      </c>
      <c r="N35" s="14">
        <f t="shared" si="25"/>
        <v>52.517236196011623</v>
      </c>
      <c r="O35" s="14">
        <f t="shared" si="26"/>
        <v>56.068894678825529</v>
      </c>
      <c r="P35" s="14">
        <f t="shared" si="27"/>
        <v>50.5</v>
      </c>
      <c r="Q35" s="14">
        <f t="shared" si="28"/>
        <v>48.016484617697166</v>
      </c>
      <c r="R35" s="14">
        <f t="shared" si="29"/>
        <v>46.961569295520597</v>
      </c>
      <c r="S35">
        <f t="shared" si="20"/>
        <v>29937</v>
      </c>
      <c r="T35">
        <f t="shared" si="21"/>
        <v>14968.5</v>
      </c>
      <c r="U35">
        <f t="shared" si="22"/>
        <v>44905.5</v>
      </c>
      <c r="V35">
        <v>0.66</v>
      </c>
    </row>
    <row r="36" spans="1:23" x14ac:dyDescent="0.45">
      <c r="A36" t="s">
        <v>68</v>
      </c>
      <c r="B36" t="s">
        <v>65</v>
      </c>
      <c r="C36" t="s">
        <v>16</v>
      </c>
      <c r="D36" t="s">
        <v>17</v>
      </c>
      <c r="E36">
        <v>43240</v>
      </c>
      <c r="F36">
        <v>44077</v>
      </c>
      <c r="G36">
        <v>45260</v>
      </c>
      <c r="H36">
        <v>51680</v>
      </c>
      <c r="I36">
        <v>54009</v>
      </c>
      <c r="J36">
        <v>54609</v>
      </c>
      <c r="K36">
        <v>54891</v>
      </c>
      <c r="L36" s="14">
        <f t="shared" si="23"/>
        <v>34.332043343653254</v>
      </c>
      <c r="M36" s="14">
        <f t="shared" si="24"/>
        <v>35.935429566563471</v>
      </c>
      <c r="N36" s="14">
        <f t="shared" si="25"/>
        <v>38.201625386996902</v>
      </c>
      <c r="O36" s="14">
        <f t="shared" si="26"/>
        <v>50.5</v>
      </c>
      <c r="P36" s="14">
        <f t="shared" si="27"/>
        <v>54.961513157894736</v>
      </c>
      <c r="Q36" s="14">
        <f t="shared" si="28"/>
        <v>56.110893962848301</v>
      </c>
      <c r="R36" s="14">
        <f t="shared" si="29"/>
        <v>56.651102941176468</v>
      </c>
      <c r="S36">
        <f t="shared" si="20"/>
        <v>51680</v>
      </c>
      <c r="T36">
        <f t="shared" si="21"/>
        <v>25840</v>
      </c>
      <c r="U36">
        <f t="shared" si="22"/>
        <v>77520</v>
      </c>
      <c r="V36">
        <v>1</v>
      </c>
      <c r="W36" t="s">
        <v>273</v>
      </c>
    </row>
    <row r="37" spans="1:23" x14ac:dyDescent="0.45">
      <c r="A37" t="s">
        <v>69</v>
      </c>
      <c r="B37" t="s">
        <v>65</v>
      </c>
      <c r="C37" t="s">
        <v>16</v>
      </c>
      <c r="D37" t="s">
        <v>17</v>
      </c>
      <c r="E37">
        <v>15417</v>
      </c>
      <c r="F37">
        <v>14903</v>
      </c>
      <c r="G37">
        <v>14836</v>
      </c>
      <c r="H37">
        <v>14783</v>
      </c>
      <c r="I37">
        <v>14667</v>
      </c>
      <c r="J37">
        <v>14665</v>
      </c>
      <c r="K37">
        <v>14602</v>
      </c>
      <c r="L37" s="14">
        <f t="shared" si="23"/>
        <v>54.745822904687813</v>
      </c>
      <c r="M37" s="14">
        <f t="shared" si="24"/>
        <v>51.303625786376251</v>
      </c>
      <c r="N37" s="14">
        <f t="shared" si="25"/>
        <v>50.854934722316173</v>
      </c>
      <c r="O37" s="14">
        <f t="shared" si="26"/>
        <v>50.5</v>
      </c>
      <c r="P37" s="14">
        <f t="shared" si="27"/>
        <v>49.7231617398363</v>
      </c>
      <c r="Q37" s="14">
        <f t="shared" si="28"/>
        <v>49.709767976730028</v>
      </c>
      <c r="R37" s="14">
        <f t="shared" si="29"/>
        <v>49.287864438882501</v>
      </c>
      <c r="S37">
        <f t="shared" si="20"/>
        <v>14783</v>
      </c>
      <c r="T37">
        <f t="shared" si="21"/>
        <v>7391.5</v>
      </c>
      <c r="U37">
        <f t="shared" si="22"/>
        <v>22174.5</v>
      </c>
      <c r="V37">
        <v>1</v>
      </c>
    </row>
    <row r="38" spans="1:23" x14ac:dyDescent="0.45">
      <c r="A38" t="s">
        <v>70</v>
      </c>
      <c r="B38" t="s">
        <v>65</v>
      </c>
      <c r="C38" t="s">
        <v>16</v>
      </c>
      <c r="D38" t="s">
        <v>17</v>
      </c>
      <c r="E38">
        <v>1141</v>
      </c>
      <c r="F38">
        <v>1059</v>
      </c>
      <c r="G38">
        <v>1122</v>
      </c>
      <c r="H38">
        <v>1490</v>
      </c>
      <c r="I38">
        <v>1549</v>
      </c>
      <c r="J38">
        <v>1578</v>
      </c>
      <c r="K38">
        <v>1573</v>
      </c>
      <c r="L38" s="14">
        <f t="shared" si="23"/>
        <v>27.311409395973154</v>
      </c>
      <c r="M38" s="14">
        <f t="shared" si="24"/>
        <v>21.863087248322149</v>
      </c>
      <c r="N38" s="14">
        <f t="shared" si="25"/>
        <v>26.048993288590605</v>
      </c>
      <c r="O38" s="14">
        <f t="shared" si="26"/>
        <v>50.5</v>
      </c>
      <c r="P38" s="14">
        <f t="shared" si="27"/>
        <v>54.420134228187912</v>
      </c>
      <c r="Q38" s="14">
        <f t="shared" si="28"/>
        <v>56.346979865771814</v>
      </c>
      <c r="R38" s="14">
        <f t="shared" si="29"/>
        <v>56.014765100671141</v>
      </c>
      <c r="S38">
        <f t="shared" si="20"/>
        <v>1490</v>
      </c>
      <c r="T38">
        <f t="shared" si="21"/>
        <v>745</v>
      </c>
      <c r="U38">
        <f t="shared" si="22"/>
        <v>2235</v>
      </c>
      <c r="V38">
        <v>1</v>
      </c>
    </row>
    <row r="39" spans="1:23" x14ac:dyDescent="0.45">
      <c r="A39" t="s">
        <v>71</v>
      </c>
      <c r="B39" t="s">
        <v>65</v>
      </c>
      <c r="C39" t="s">
        <v>16</v>
      </c>
      <c r="D39" t="s">
        <v>17</v>
      </c>
      <c r="E39">
        <v>33215</v>
      </c>
      <c r="F39">
        <v>32900</v>
      </c>
      <c r="G39">
        <v>33032</v>
      </c>
      <c r="H39">
        <v>33384</v>
      </c>
      <c r="I39">
        <v>32796</v>
      </c>
      <c r="J39">
        <v>32209</v>
      </c>
      <c r="K39">
        <v>31632</v>
      </c>
      <c r="L39" s="14">
        <f t="shared" si="23"/>
        <v>51.447872340425533</v>
      </c>
      <c r="M39" s="14">
        <f t="shared" si="24"/>
        <v>50.5</v>
      </c>
      <c r="N39" s="14">
        <f t="shared" si="25"/>
        <v>50.897203647416411</v>
      </c>
      <c r="O39" s="14">
        <f t="shared" si="26"/>
        <v>51.956413373860187</v>
      </c>
      <c r="P39" s="14">
        <f t="shared" si="27"/>
        <v>50.187051671732526</v>
      </c>
      <c r="Q39" s="14">
        <f t="shared" si="28"/>
        <v>48.420699088145895</v>
      </c>
      <c r="R39" s="14">
        <f t="shared" si="29"/>
        <v>46.684437689969606</v>
      </c>
      <c r="S39">
        <f t="shared" si="20"/>
        <v>32900</v>
      </c>
      <c r="T39">
        <f t="shared" si="21"/>
        <v>16450</v>
      </c>
      <c r="U39">
        <f t="shared" si="22"/>
        <v>49350</v>
      </c>
      <c r="V39">
        <v>1</v>
      </c>
    </row>
    <row r="40" spans="1:23" x14ac:dyDescent="0.45">
      <c r="A40" t="s">
        <v>72</v>
      </c>
      <c r="B40" t="s">
        <v>65</v>
      </c>
      <c r="C40" t="s">
        <v>16</v>
      </c>
      <c r="D40" t="s">
        <v>17</v>
      </c>
      <c r="E40">
        <v>22691</v>
      </c>
      <c r="F40">
        <v>23136</v>
      </c>
      <c r="G40">
        <v>23791</v>
      </c>
      <c r="H40">
        <v>26062</v>
      </c>
      <c r="I40">
        <v>27126</v>
      </c>
      <c r="J40">
        <v>27931</v>
      </c>
      <c r="K40">
        <v>28572</v>
      </c>
      <c r="L40" s="14">
        <f t="shared" si="23"/>
        <v>37.69480469649298</v>
      </c>
      <c r="M40" s="14">
        <f t="shared" si="24"/>
        <v>39.385196838308644</v>
      </c>
      <c r="N40" s="14">
        <f t="shared" si="25"/>
        <v>41.873302125700256</v>
      </c>
      <c r="O40" s="14">
        <f t="shared" si="26"/>
        <v>50.5</v>
      </c>
      <c r="P40" s="14">
        <f t="shared" si="27"/>
        <v>54.541746604251401</v>
      </c>
      <c r="Q40" s="14">
        <f t="shared" si="28"/>
        <v>57.599646995625818</v>
      </c>
      <c r="R40" s="14">
        <f t="shared" si="29"/>
        <v>60.034571406645689</v>
      </c>
      <c r="S40">
        <f t="shared" si="20"/>
        <v>26062</v>
      </c>
      <c r="T40">
        <f t="shared" si="21"/>
        <v>13031</v>
      </c>
      <c r="U40">
        <f t="shared" si="22"/>
        <v>39093</v>
      </c>
      <c r="V40">
        <v>1</v>
      </c>
    </row>
    <row r="41" spans="1:23" x14ac:dyDescent="0.45">
      <c r="A41" t="s">
        <v>73</v>
      </c>
      <c r="B41" t="s">
        <v>65</v>
      </c>
      <c r="C41" t="s">
        <v>16</v>
      </c>
      <c r="D41" t="s">
        <v>17</v>
      </c>
      <c r="E41">
        <v>12262</v>
      </c>
      <c r="F41">
        <v>15465</v>
      </c>
      <c r="G41">
        <v>14835</v>
      </c>
      <c r="H41">
        <v>14760</v>
      </c>
      <c r="I41">
        <v>15783</v>
      </c>
      <c r="J41">
        <v>16070</v>
      </c>
      <c r="K41">
        <v>16570</v>
      </c>
      <c r="L41" s="14">
        <f t="shared" si="23"/>
        <v>29.995829291949565</v>
      </c>
      <c r="M41" s="14">
        <f t="shared" si="24"/>
        <v>50.5</v>
      </c>
      <c r="N41" s="14">
        <f t="shared" si="25"/>
        <v>46.467022308438409</v>
      </c>
      <c r="O41" s="14">
        <f t="shared" si="26"/>
        <v>45.98690591658584</v>
      </c>
      <c r="P41" s="14">
        <f t="shared" si="27"/>
        <v>52.535693501454901</v>
      </c>
      <c r="Q41" s="14">
        <f t="shared" si="28"/>
        <v>54.372938894277404</v>
      </c>
      <c r="R41" s="14">
        <f t="shared" si="29"/>
        <v>57.573714839961198</v>
      </c>
      <c r="S41">
        <f t="shared" si="20"/>
        <v>15465</v>
      </c>
      <c r="T41">
        <f t="shared" si="21"/>
        <v>7732.5</v>
      </c>
      <c r="U41">
        <f t="shared" si="22"/>
        <v>23197.5</v>
      </c>
      <c r="V41">
        <v>1</v>
      </c>
    </row>
    <row r="42" spans="1:23" x14ac:dyDescent="0.45">
      <c r="A42" t="s">
        <v>74</v>
      </c>
      <c r="B42" t="s">
        <v>65</v>
      </c>
      <c r="C42" t="s">
        <v>16</v>
      </c>
      <c r="D42" t="s">
        <v>17</v>
      </c>
      <c r="E42">
        <v>12986</v>
      </c>
      <c r="F42">
        <v>12914</v>
      </c>
      <c r="G42">
        <v>12874</v>
      </c>
      <c r="H42">
        <v>12321</v>
      </c>
      <c r="I42">
        <v>12872</v>
      </c>
      <c r="J42">
        <v>12873</v>
      </c>
      <c r="K42">
        <v>12632</v>
      </c>
      <c r="L42" s="14">
        <f t="shared" si="23"/>
        <v>51.369028198555114</v>
      </c>
      <c r="M42" s="14">
        <f t="shared" si="24"/>
        <v>50.815311116289912</v>
      </c>
      <c r="N42" s="14">
        <f t="shared" si="25"/>
        <v>50.507690515031463</v>
      </c>
      <c r="O42" s="14">
        <f t="shared" si="26"/>
        <v>46.254835702633422</v>
      </c>
      <c r="P42" s="14">
        <f t="shared" si="27"/>
        <v>50.492309484968537</v>
      </c>
      <c r="Q42" s="14">
        <f t="shared" si="28"/>
        <v>50.5</v>
      </c>
      <c r="R42" s="14">
        <f t="shared" si="29"/>
        <v>48.646585877417849</v>
      </c>
      <c r="S42">
        <f t="shared" si="20"/>
        <v>12873</v>
      </c>
      <c r="T42">
        <f t="shared" si="21"/>
        <v>6436.5</v>
      </c>
      <c r="U42">
        <f t="shared" si="22"/>
        <v>19309.5</v>
      </c>
      <c r="V42">
        <v>1</v>
      </c>
    </row>
    <row r="43" spans="1:23" x14ac:dyDescent="0.45">
      <c r="A43" t="s">
        <v>75</v>
      </c>
      <c r="B43" t="s">
        <v>65</v>
      </c>
      <c r="C43" t="s">
        <v>16</v>
      </c>
      <c r="D43" t="s">
        <v>17</v>
      </c>
      <c r="E43">
        <v>31.8</v>
      </c>
      <c r="F43">
        <v>49.1</v>
      </c>
      <c r="G43">
        <v>35.5</v>
      </c>
      <c r="H43">
        <v>33.799999999999997</v>
      </c>
      <c r="I43">
        <v>56.7</v>
      </c>
      <c r="J43">
        <v>48.7</v>
      </c>
      <c r="K43">
        <v>37.5</v>
      </c>
      <c r="L43" s="14">
        <f t="shared" si="23"/>
        <v>35.452000000000005</v>
      </c>
      <c r="M43" s="14">
        <f t="shared" si="24"/>
        <v>81.123999999999995</v>
      </c>
      <c r="N43" s="14">
        <f t="shared" si="25"/>
        <v>45.22</v>
      </c>
      <c r="O43" s="14">
        <f t="shared" si="26"/>
        <v>40.731999999999992</v>
      </c>
      <c r="P43" s="14">
        <f t="shared" si="27"/>
        <v>100</v>
      </c>
      <c r="Q43" s="14">
        <f t="shared" si="28"/>
        <v>80.068000000000012</v>
      </c>
      <c r="R43" s="14">
        <f t="shared" si="29"/>
        <v>50.5</v>
      </c>
      <c r="S43">
        <f t="shared" si="20"/>
        <v>37.5</v>
      </c>
      <c r="T43">
        <f t="shared" si="21"/>
        <v>18.75</v>
      </c>
      <c r="U43">
        <f t="shared" si="22"/>
        <v>56.25</v>
      </c>
      <c r="V43">
        <v>1</v>
      </c>
    </row>
    <row r="44" spans="1:23" x14ac:dyDescent="0.45">
      <c r="A44" t="s">
        <v>76</v>
      </c>
      <c r="B44" t="s">
        <v>65</v>
      </c>
      <c r="C44" s="12" t="s">
        <v>77</v>
      </c>
      <c r="D44" t="s">
        <v>17</v>
      </c>
      <c r="E44">
        <v>2.4900000000000002</v>
      </c>
      <c r="F44">
        <v>2.36</v>
      </c>
      <c r="G44">
        <v>2.4900000000000002</v>
      </c>
      <c r="H44">
        <v>2.72</v>
      </c>
      <c r="I44">
        <v>2.29</v>
      </c>
      <c r="J44">
        <v>2.2400000000000002</v>
      </c>
      <c r="K44" s="17">
        <f>J44/I44*J44</f>
        <v>2.1910917030567689</v>
      </c>
      <c r="L44" s="14">
        <f t="shared" si="23"/>
        <v>55.953389830508485</v>
      </c>
      <c r="M44" s="14">
        <f t="shared" si="24"/>
        <v>50.499999999999986</v>
      </c>
      <c r="N44" s="14">
        <f t="shared" si="25"/>
        <v>55.953389830508485</v>
      </c>
      <c r="O44" s="14">
        <f t="shared" si="26"/>
        <v>65.601694915254242</v>
      </c>
      <c r="P44" s="14">
        <f t="shared" si="27"/>
        <v>47.563559322033896</v>
      </c>
      <c r="Q44" s="14">
        <f t="shared" si="28"/>
        <v>45.46610169491526</v>
      </c>
      <c r="R44" s="14">
        <f t="shared" si="29"/>
        <v>43.414440085855986</v>
      </c>
      <c r="S44">
        <f t="shared" si="20"/>
        <v>2.36</v>
      </c>
      <c r="T44">
        <f t="shared" si="21"/>
        <v>1.18</v>
      </c>
      <c r="U44">
        <f t="shared" si="22"/>
        <v>3.54</v>
      </c>
      <c r="V44">
        <v>1</v>
      </c>
    </row>
    <row r="45" spans="1:23" x14ac:dyDescent="0.45">
      <c r="A45" t="s">
        <v>78</v>
      </c>
      <c r="B45" t="s">
        <v>65</v>
      </c>
      <c r="C45" s="16" t="s">
        <v>274</v>
      </c>
      <c r="D45" t="s">
        <v>17</v>
      </c>
      <c r="E45">
        <f>1539/Lakosságszám!C3</f>
        <v>0.89336610363511182</v>
      </c>
      <c r="F45">
        <f>1465/Lakosságszám!D3</f>
        <v>0.85186651804067215</v>
      </c>
      <c r="G45">
        <f>1521/Lakosságszám!E3</f>
        <v>0.89269836127344204</v>
      </c>
      <c r="H45">
        <f>1628/Lakosságszám!F3</f>
        <v>0.96819871624462606</v>
      </c>
      <c r="I45">
        <f>1527/Lakosságszám!G3</f>
        <v>0.91342883958646259</v>
      </c>
      <c r="J45">
        <f>1418/Lakosságszám!H3</f>
        <v>0.84474503652718047</v>
      </c>
      <c r="K45">
        <f>1367/Lakosságszám!I3</f>
        <v>0.81093185977463578</v>
      </c>
      <c r="L45" s="14">
        <f t="shared" si="23"/>
        <v>50.574052442205684</v>
      </c>
      <c r="M45" s="14">
        <f t="shared" si="24"/>
        <v>45.971759941087193</v>
      </c>
      <c r="N45" s="14">
        <f t="shared" si="25"/>
        <v>50.5</v>
      </c>
      <c r="O45" s="14">
        <f t="shared" si="26"/>
        <v>58.87296836916417</v>
      </c>
      <c r="P45" s="14">
        <f t="shared" si="27"/>
        <v>52.799004279633031</v>
      </c>
      <c r="Q45" s="14">
        <f t="shared" si="28"/>
        <v>45.181989621771329</v>
      </c>
      <c r="R45" s="14">
        <f t="shared" si="29"/>
        <v>41.432117723578664</v>
      </c>
      <c r="S45">
        <f t="shared" si="20"/>
        <v>0.89269836127344204</v>
      </c>
      <c r="T45">
        <f t="shared" si="21"/>
        <v>0.44634918063672102</v>
      </c>
      <c r="U45">
        <f t="shared" si="22"/>
        <v>1.3390475419101631</v>
      </c>
      <c r="V45">
        <v>1</v>
      </c>
    </row>
    <row r="46" spans="1:23" x14ac:dyDescent="0.45">
      <c r="A46" t="s">
        <v>80</v>
      </c>
      <c r="B46" t="s">
        <v>65</v>
      </c>
      <c r="C46" s="16" t="s">
        <v>274</v>
      </c>
      <c r="D46" t="s">
        <v>17</v>
      </c>
      <c r="E46">
        <f>36092/Lakosságszám!C3</f>
        <v>20.950857317997698</v>
      </c>
      <c r="F46">
        <f>38353/Lakosságszám!D3</f>
        <v>22.301458407108463</v>
      </c>
      <c r="G46">
        <f>40342/Lakosságszám!E3</f>
        <v>23.677342071330177</v>
      </c>
      <c r="H46">
        <f>43057/Lakosságszám!F3</f>
        <v>25.606715064708148</v>
      </c>
      <c r="I46">
        <f>44355/Lakosságszám!G3</f>
        <v>26.532505684255106</v>
      </c>
      <c r="J46">
        <f>44317/Lakosságszám!H3</f>
        <v>26.400963176146021</v>
      </c>
      <c r="K46">
        <f>45107/Lakosságszám!I3</f>
        <v>26.758378492212504</v>
      </c>
      <c r="L46" s="14">
        <f t="shared" si="23"/>
        <v>32.499646742678038</v>
      </c>
      <c r="M46" s="14">
        <f t="shared" si="24"/>
        <v>37.721304713412742</v>
      </c>
      <c r="N46" s="14">
        <f t="shared" si="25"/>
        <v>43.040709502888504</v>
      </c>
      <c r="O46" s="14">
        <f t="shared" si="26"/>
        <v>50.499999999999993</v>
      </c>
      <c r="P46" s="14">
        <f t="shared" si="27"/>
        <v>54.079267043958623</v>
      </c>
      <c r="Q46" s="14">
        <f t="shared" si="28"/>
        <v>53.570700901449094</v>
      </c>
      <c r="R46" s="14">
        <f t="shared" si="29"/>
        <v>54.952530480181316</v>
      </c>
      <c r="S46">
        <f t="shared" si="20"/>
        <v>25.606715064708148</v>
      </c>
      <c r="T46">
        <f t="shared" si="21"/>
        <v>12.803357532354074</v>
      </c>
      <c r="U46">
        <f t="shared" si="22"/>
        <v>38.410072597062225</v>
      </c>
      <c r="V46">
        <v>1</v>
      </c>
    </row>
    <row r="47" spans="1:23" x14ac:dyDescent="0.45">
      <c r="A47" t="s">
        <v>81</v>
      </c>
      <c r="B47" t="s">
        <v>65</v>
      </c>
      <c r="C47" s="16" t="s">
        <v>275</v>
      </c>
      <c r="D47" t="s">
        <v>17</v>
      </c>
      <c r="E47">
        <f>393914/Lakosságszám!C3</f>
        <v>228.66108859475079</v>
      </c>
      <c r="F47">
        <f>425552/Lakosságszám!D3</f>
        <v>247.44948838583215</v>
      </c>
      <c r="G47">
        <f>450828/Lakosságszám!E3</f>
        <v>264.59790717697786</v>
      </c>
      <c r="H47">
        <f>558424/Lakosságszám!F3</f>
        <v>332.10405400503015</v>
      </c>
      <c r="I47">
        <f>559715/Lakosságszám!G3</f>
        <v>334.81324358162209</v>
      </c>
      <c r="J47">
        <f>643807/Lakosságszám!H3</f>
        <v>383.53509713078591</v>
      </c>
      <c r="K47">
        <f>699107/Lakosságszám!I3</f>
        <v>414.72431579478149</v>
      </c>
      <c r="L47" s="14">
        <f t="shared" si="23"/>
        <v>19.663720068703086</v>
      </c>
      <c r="M47" s="14">
        <f t="shared" si="24"/>
        <v>25.264529685103859</v>
      </c>
      <c r="N47" s="14">
        <f t="shared" si="25"/>
        <v>30.376462044405052</v>
      </c>
      <c r="O47" s="14">
        <f t="shared" si="26"/>
        <v>50.499999999999986</v>
      </c>
      <c r="P47" s="14">
        <f t="shared" si="27"/>
        <v>51.307607630343881</v>
      </c>
      <c r="Q47" s="14">
        <f t="shared" si="28"/>
        <v>65.831560118120976</v>
      </c>
      <c r="R47" s="14">
        <f t="shared" si="29"/>
        <v>75.129045681753368</v>
      </c>
      <c r="S47">
        <f t="shared" si="20"/>
        <v>332.10405400503015</v>
      </c>
      <c r="T47">
        <f t="shared" si="21"/>
        <v>166.05202700251508</v>
      </c>
      <c r="U47">
        <f t="shared" si="22"/>
        <v>498.15608100754525</v>
      </c>
      <c r="V47">
        <v>1</v>
      </c>
    </row>
    <row r="48" spans="1:23" x14ac:dyDescent="0.45">
      <c r="A48" t="s">
        <v>83</v>
      </c>
      <c r="B48" t="s">
        <v>65</v>
      </c>
      <c r="C48" s="11" t="s">
        <v>84</v>
      </c>
      <c r="D48" t="s">
        <v>17</v>
      </c>
      <c r="E48">
        <v>15847139000000</v>
      </c>
      <c r="F48">
        <v>18043594000000</v>
      </c>
      <c r="G48">
        <v>18120648000000</v>
      </c>
      <c r="H48">
        <v>20523020000000</v>
      </c>
      <c r="I48">
        <v>24401520000000</v>
      </c>
      <c r="J48">
        <v>28781131000000</v>
      </c>
      <c r="K48" s="2">
        <f>J48*1.08</f>
        <v>31083621480000.004</v>
      </c>
      <c r="L48" s="14">
        <f t="shared" si="23"/>
        <v>27.944244609224178</v>
      </c>
      <c r="M48" s="14">
        <f t="shared" si="24"/>
        <v>38.539617268803518</v>
      </c>
      <c r="N48" s="14">
        <f t="shared" si="25"/>
        <v>38.911314319237619</v>
      </c>
      <c r="O48" s="14">
        <f t="shared" si="26"/>
        <v>50.5</v>
      </c>
      <c r="P48" s="14">
        <f t="shared" si="27"/>
        <v>69.209307889384704</v>
      </c>
      <c r="Q48" s="14">
        <f t="shared" si="28"/>
        <v>90.335900807970759</v>
      </c>
      <c r="R48" s="14">
        <f t="shared" si="29"/>
        <v>100</v>
      </c>
      <c r="S48">
        <f t="shared" si="20"/>
        <v>20523020000000</v>
      </c>
      <c r="T48">
        <f t="shared" si="21"/>
        <v>10261510000000</v>
      </c>
      <c r="U48">
        <f t="shared" si="22"/>
        <v>30784530000000</v>
      </c>
      <c r="V48">
        <v>1</v>
      </c>
    </row>
    <row r="49" spans="1:22" x14ac:dyDescent="0.45">
      <c r="A49" t="s">
        <v>276</v>
      </c>
      <c r="B49" t="s">
        <v>65</v>
      </c>
      <c r="C49" s="12" t="s">
        <v>85</v>
      </c>
      <c r="D49" t="s">
        <v>17</v>
      </c>
      <c r="E49">
        <f>1717041/1387235</f>
        <v>1.2377434248703356</v>
      </c>
      <c r="F49">
        <f>1938922/1533796</f>
        <v>1.2641329094612321</v>
      </c>
      <c r="G49">
        <f>2238125/1745759</f>
        <v>1.282035492871582</v>
      </c>
      <c r="H49">
        <f>2471674/1928110</f>
        <v>1.2819154508819517</v>
      </c>
      <c r="I49">
        <f>2828776/2176150</f>
        <v>1.2998993635549021</v>
      </c>
      <c r="J49">
        <f>3338670/2462252</f>
        <v>1.3559416339188677</v>
      </c>
      <c r="K49">
        <f>3729451/2796704</f>
        <v>1.3335165251667678</v>
      </c>
      <c r="L49" s="14">
        <f t="shared" si="23"/>
        <v>47.079724386333652</v>
      </c>
      <c r="M49" s="14">
        <f t="shared" si="24"/>
        <v>49.117545483351009</v>
      </c>
      <c r="N49" s="14">
        <f t="shared" si="25"/>
        <v>50.500000000000014</v>
      </c>
      <c r="O49" s="14">
        <f t="shared" si="26"/>
        <v>50.490730243398509</v>
      </c>
      <c r="P49" s="14">
        <f t="shared" si="27"/>
        <v>51.879465083051215</v>
      </c>
      <c r="Q49" s="14">
        <f t="shared" si="28"/>
        <v>56.207102497835599</v>
      </c>
      <c r="R49" s="14">
        <f t="shared" si="29"/>
        <v>54.475414273287917</v>
      </c>
      <c r="S49">
        <f t="shared" si="20"/>
        <v>1.282035492871582</v>
      </c>
      <c r="T49">
        <f t="shared" si="21"/>
        <v>0.64101774643579101</v>
      </c>
      <c r="U49">
        <f t="shared" si="22"/>
        <v>1.9230532393073729</v>
      </c>
      <c r="V49">
        <v>0</v>
      </c>
    </row>
    <row r="50" spans="1:22" x14ac:dyDescent="0.45">
      <c r="A50" t="s">
        <v>86</v>
      </c>
      <c r="B50" t="s">
        <v>65</v>
      </c>
      <c r="C50" t="s">
        <v>55</v>
      </c>
      <c r="D50" t="s">
        <v>17</v>
      </c>
      <c r="E50">
        <f>F50</f>
        <v>72.22</v>
      </c>
      <c r="F50">
        <v>72.22</v>
      </c>
      <c r="G50">
        <v>70</v>
      </c>
      <c r="H50">
        <v>63.5</v>
      </c>
      <c r="I50">
        <f>H50</f>
        <v>63.5</v>
      </c>
      <c r="J50">
        <v>62.7</v>
      </c>
      <c r="K50">
        <v>63.7</v>
      </c>
      <c r="L50" s="14">
        <f t="shared" ref="L50:R53" si="30">E50</f>
        <v>72.22</v>
      </c>
      <c r="M50" s="14">
        <f t="shared" si="30"/>
        <v>72.22</v>
      </c>
      <c r="N50" s="14">
        <f t="shared" si="30"/>
        <v>70</v>
      </c>
      <c r="O50" s="14">
        <f t="shared" si="30"/>
        <v>63.5</v>
      </c>
      <c r="P50" s="14">
        <f t="shared" si="30"/>
        <v>63.5</v>
      </c>
      <c r="Q50" s="14">
        <f t="shared" si="30"/>
        <v>62.7</v>
      </c>
      <c r="R50" s="14">
        <f t="shared" si="30"/>
        <v>63.7</v>
      </c>
      <c r="V50">
        <v>0.66</v>
      </c>
    </row>
    <row r="51" spans="1:22" x14ac:dyDescent="0.45">
      <c r="A51" t="s">
        <v>87</v>
      </c>
      <c r="B51" t="s">
        <v>65</v>
      </c>
      <c r="C51" t="s">
        <v>55</v>
      </c>
      <c r="D51" t="s">
        <v>17</v>
      </c>
      <c r="E51">
        <f>F51</f>
        <v>67.89</v>
      </c>
      <c r="F51">
        <v>67.89</v>
      </c>
      <c r="G51">
        <v>66.8</v>
      </c>
      <c r="H51">
        <v>61.3</v>
      </c>
      <c r="I51">
        <f>H51</f>
        <v>61.3</v>
      </c>
      <c r="J51">
        <v>62.3</v>
      </c>
      <c r="K51">
        <v>61.6</v>
      </c>
      <c r="L51">
        <f t="shared" si="30"/>
        <v>67.89</v>
      </c>
      <c r="M51">
        <f t="shared" si="30"/>
        <v>67.89</v>
      </c>
      <c r="N51">
        <f t="shared" si="30"/>
        <v>66.8</v>
      </c>
      <c r="O51">
        <f t="shared" si="30"/>
        <v>61.3</v>
      </c>
      <c r="P51">
        <f t="shared" si="30"/>
        <v>61.3</v>
      </c>
      <c r="Q51">
        <f t="shared" si="30"/>
        <v>62.3</v>
      </c>
      <c r="R51">
        <f t="shared" si="30"/>
        <v>61.6</v>
      </c>
      <c r="V51">
        <v>0.66</v>
      </c>
    </row>
    <row r="52" spans="1:22" x14ac:dyDescent="0.45">
      <c r="A52" t="s">
        <v>88</v>
      </c>
      <c r="B52" t="s">
        <v>65</v>
      </c>
      <c r="C52" t="s">
        <v>55</v>
      </c>
      <c r="D52" t="s">
        <v>17</v>
      </c>
      <c r="E52">
        <f>F52</f>
        <v>76.69</v>
      </c>
      <c r="F52">
        <v>76.69</v>
      </c>
      <c r="G52">
        <v>78.5</v>
      </c>
      <c r="H52">
        <v>75.099999999999994</v>
      </c>
      <c r="I52">
        <f>H52</f>
        <v>75.099999999999994</v>
      </c>
      <c r="J52">
        <v>73.2</v>
      </c>
      <c r="K52">
        <v>71.400000000000006</v>
      </c>
      <c r="L52">
        <f t="shared" si="30"/>
        <v>76.69</v>
      </c>
      <c r="M52">
        <f t="shared" si="30"/>
        <v>76.69</v>
      </c>
      <c r="N52">
        <f t="shared" si="30"/>
        <v>78.5</v>
      </c>
      <c r="O52">
        <f t="shared" si="30"/>
        <v>75.099999999999994</v>
      </c>
      <c r="P52">
        <f t="shared" si="30"/>
        <v>75.099999999999994</v>
      </c>
      <c r="Q52">
        <f t="shared" si="30"/>
        <v>73.2</v>
      </c>
      <c r="R52">
        <f t="shared" si="30"/>
        <v>71.400000000000006</v>
      </c>
      <c r="V52">
        <v>1</v>
      </c>
    </row>
    <row r="53" spans="1:22" x14ac:dyDescent="0.45">
      <c r="A53" t="s">
        <v>89</v>
      </c>
      <c r="B53" t="s">
        <v>65</v>
      </c>
      <c r="C53" t="s">
        <v>55</v>
      </c>
      <c r="D53" t="s">
        <v>17</v>
      </c>
      <c r="E53">
        <f>F53</f>
        <v>52.17</v>
      </c>
      <c r="F53">
        <v>52.17</v>
      </c>
      <c r="G53">
        <v>52</v>
      </c>
      <c r="H53">
        <v>49.9</v>
      </c>
      <c r="I53">
        <f>H53</f>
        <v>49.9</v>
      </c>
      <c r="J53">
        <v>50.7</v>
      </c>
      <c r="K53">
        <v>51.5</v>
      </c>
      <c r="L53">
        <f t="shared" si="30"/>
        <v>52.17</v>
      </c>
      <c r="M53">
        <f t="shared" si="30"/>
        <v>52.17</v>
      </c>
      <c r="N53">
        <f t="shared" si="30"/>
        <v>52</v>
      </c>
      <c r="O53">
        <f t="shared" si="30"/>
        <v>49.9</v>
      </c>
      <c r="P53">
        <f t="shared" si="30"/>
        <v>49.9</v>
      </c>
      <c r="Q53">
        <f t="shared" si="30"/>
        <v>50.7</v>
      </c>
      <c r="R53">
        <f t="shared" si="30"/>
        <v>51.5</v>
      </c>
      <c r="V53">
        <v>1</v>
      </c>
    </row>
    <row r="54" spans="1:22" x14ac:dyDescent="0.45">
      <c r="A54" t="s">
        <v>90</v>
      </c>
      <c r="B54" t="s">
        <v>65</v>
      </c>
      <c r="C54" s="11" t="s">
        <v>91</v>
      </c>
      <c r="D54" t="s">
        <v>17</v>
      </c>
      <c r="E54">
        <v>13393133</v>
      </c>
      <c r="F54">
        <v>15255734</v>
      </c>
      <c r="G54">
        <v>15314599</v>
      </c>
      <c r="H54">
        <v>17387472</v>
      </c>
      <c r="I54">
        <v>20751196</v>
      </c>
      <c r="J54">
        <v>24896129</v>
      </c>
      <c r="K54" s="19">
        <f>J54*1.08</f>
        <v>26887819.32</v>
      </c>
      <c r="L54" s="14">
        <f t="shared" ref="L54:R56" si="31">IF(E54&lt;$T54,1,IF(E54&gt;$U54,100,(((((E54-$T54)/($U54-$T54))*99)+1))))</f>
        <v>27.757213642098172</v>
      </c>
      <c r="M54" s="14">
        <f t="shared" si="31"/>
        <v>38.362406794961338</v>
      </c>
      <c r="N54" s="14">
        <f t="shared" si="31"/>
        <v>38.69756966395115</v>
      </c>
      <c r="O54" s="14">
        <f t="shared" si="31"/>
        <v>50.5</v>
      </c>
      <c r="P54" s="14">
        <f t="shared" si="31"/>
        <v>69.652219253034602</v>
      </c>
      <c r="Q54" s="14">
        <f t="shared" si="31"/>
        <v>93.252450902580904</v>
      </c>
      <c r="R54" s="14">
        <f t="shared" si="31"/>
        <v>100</v>
      </c>
      <c r="S54">
        <f>MEDIAN(E54:K54)</f>
        <v>17387472</v>
      </c>
      <c r="T54">
        <f>S54*0.5</f>
        <v>8693736</v>
      </c>
      <c r="U54">
        <f>S54*1.5</f>
        <v>26081208</v>
      </c>
      <c r="V54">
        <v>1</v>
      </c>
    </row>
    <row r="55" spans="1:22" x14ac:dyDescent="0.45">
      <c r="A55" t="s">
        <v>277</v>
      </c>
      <c r="B55" t="s">
        <v>65</v>
      </c>
      <c r="C55" s="8" t="s">
        <v>278</v>
      </c>
      <c r="D55" t="s">
        <v>17</v>
      </c>
      <c r="E55">
        <f>Jövedelem!C7/1000000</f>
        <v>1.717041</v>
      </c>
      <c r="F55">
        <f>Jövedelem!D7/1000000</f>
        <v>1.8805426059999997</v>
      </c>
      <c r="G55">
        <f>Jövedelem!E7/1000000</f>
        <v>2.1086789364607217</v>
      </c>
      <c r="H55">
        <f>Jövedelem!F7/1000000</f>
        <v>2.2211775760154793</v>
      </c>
      <c r="I55">
        <f>Jövedelem!G7/1000000</f>
        <v>2.220017657461216</v>
      </c>
      <c r="J55">
        <f>Jövedelem!H7/1000000</f>
        <v>2.2294583249757487</v>
      </c>
      <c r="K55">
        <f>Jövedelem!I7/1000000</f>
        <v>2.4079195701829774</v>
      </c>
      <c r="L55" s="14">
        <f t="shared" si="31"/>
        <v>28.070138272861783</v>
      </c>
      <c r="M55" s="14">
        <f t="shared" si="31"/>
        <v>35.361368114930166</v>
      </c>
      <c r="N55" s="14">
        <f t="shared" si="31"/>
        <v>45.534934365497726</v>
      </c>
      <c r="O55" s="14">
        <f t="shared" si="31"/>
        <v>50.55172568627377</v>
      </c>
      <c r="P55" s="14">
        <f t="shared" si="31"/>
        <v>50.500000000000014</v>
      </c>
      <c r="Q55" s="14">
        <f t="shared" si="31"/>
        <v>50.920999391963207</v>
      </c>
      <c r="R55" s="14">
        <f t="shared" si="31"/>
        <v>58.879342973662531</v>
      </c>
      <c r="S55">
        <f>MEDIAN(E55:K55)</f>
        <v>2.220017657461216</v>
      </c>
      <c r="T55">
        <f>S55*0.5</f>
        <v>1.110008828730608</v>
      </c>
      <c r="U55">
        <f>S55*1.5</f>
        <v>3.3300264861918238</v>
      </c>
      <c r="V55">
        <v>1</v>
      </c>
    </row>
    <row r="56" spans="1:22" x14ac:dyDescent="0.45">
      <c r="A56" t="s">
        <v>92</v>
      </c>
      <c r="B56" t="s">
        <v>65</v>
      </c>
      <c r="C56" s="8" t="s">
        <v>93</v>
      </c>
      <c r="D56" t="s">
        <v>17</v>
      </c>
      <c r="E56" s="18">
        <v>73.400000000000006</v>
      </c>
      <c r="F56" s="18">
        <v>74.400000000000006</v>
      </c>
      <c r="G56" s="18">
        <v>75.099999999999994</v>
      </c>
      <c r="H56" s="18">
        <v>78.2</v>
      </c>
      <c r="I56">
        <v>79.599999999999994</v>
      </c>
      <c r="J56">
        <v>79.2</v>
      </c>
      <c r="K56">
        <v>79.8</v>
      </c>
      <c r="L56" s="14">
        <f t="shared" si="31"/>
        <v>44.423273657288995</v>
      </c>
      <c r="M56" s="14">
        <f t="shared" si="31"/>
        <v>45.689258312020456</v>
      </c>
      <c r="N56" s="14">
        <f t="shared" si="31"/>
        <v>46.575447570332464</v>
      </c>
      <c r="O56" s="14">
        <f t="shared" si="31"/>
        <v>50.499999999999986</v>
      </c>
      <c r="P56" s="14">
        <f t="shared" si="31"/>
        <v>52.272378516624016</v>
      </c>
      <c r="Q56" s="14">
        <f t="shared" si="31"/>
        <v>51.765984654731447</v>
      </c>
      <c r="R56" s="14">
        <f t="shared" si="31"/>
        <v>52.525575447570311</v>
      </c>
      <c r="S56">
        <f>MEDIAN(E56:K56)</f>
        <v>78.2</v>
      </c>
      <c r="T56">
        <f>S56*0.5</f>
        <v>39.1</v>
      </c>
      <c r="U56">
        <f>S56*1.5</f>
        <v>117.30000000000001</v>
      </c>
      <c r="V56">
        <v>1</v>
      </c>
    </row>
    <row r="57" spans="1:22" x14ac:dyDescent="0.45">
      <c r="A57" t="s">
        <v>95</v>
      </c>
      <c r="B57" t="s">
        <v>65</v>
      </c>
      <c r="C57" s="8" t="s">
        <v>96</v>
      </c>
      <c r="D57" t="s">
        <v>10</v>
      </c>
      <c r="E57" s="18">
        <v>3</v>
      </c>
      <c r="F57" s="18">
        <v>2.4</v>
      </c>
      <c r="G57" s="18">
        <v>3.3</v>
      </c>
      <c r="H57" s="18">
        <v>2.9</v>
      </c>
      <c r="I57">
        <v>2.2999999999999998</v>
      </c>
      <c r="J57">
        <v>2.2999999999999998</v>
      </c>
      <c r="K57">
        <v>2.6</v>
      </c>
      <c r="L57" s="14">
        <f t="shared" ref="L57:R58" si="32">101-IF(E57&lt;$T57,1,IF(E57&gt;$U57,100,(((((E57-$T57)/($U57-$T57))*99)+1))))</f>
        <v>35.269230769230774</v>
      </c>
      <c r="M57" s="14">
        <f t="shared" si="32"/>
        <v>58.115384615384627</v>
      </c>
      <c r="N57" s="14">
        <f t="shared" si="32"/>
        <v>23.846153846153868</v>
      </c>
      <c r="O57" s="14">
        <f t="shared" si="32"/>
        <v>39.076923076923094</v>
      </c>
      <c r="P57" s="14">
        <f t="shared" si="32"/>
        <v>61.923076923076934</v>
      </c>
      <c r="Q57" s="14">
        <f t="shared" si="32"/>
        <v>61.923076923076934</v>
      </c>
      <c r="R57" s="14">
        <f t="shared" si="32"/>
        <v>50.500000000000014</v>
      </c>
      <c r="S57">
        <f>MEDIAN(E57:K57)</f>
        <v>2.6</v>
      </c>
      <c r="T57">
        <f>S57*0.5</f>
        <v>1.3</v>
      </c>
      <c r="U57">
        <f>S57*1.5</f>
        <v>3.9000000000000004</v>
      </c>
      <c r="V57">
        <v>1</v>
      </c>
    </row>
    <row r="58" spans="1:22" x14ac:dyDescent="0.45">
      <c r="A58" t="s">
        <v>279</v>
      </c>
      <c r="B58" t="s">
        <v>65</v>
      </c>
      <c r="C58" s="8" t="s">
        <v>98</v>
      </c>
      <c r="D58" t="s">
        <v>10</v>
      </c>
      <c r="E58">
        <f>29.52/(Jövedelem!C3/1000000)</f>
        <v>17.192367567227574</v>
      </c>
      <c r="F58">
        <f>36.13/(Jövedelem!D3/1000000)</f>
        <v>18.634065733433321</v>
      </c>
      <c r="G58">
        <f>36.21/(Jövedelem!E3/1000000)</f>
        <v>16.17872102764591</v>
      </c>
      <c r="H58">
        <f>40.43/(Jövedelem!F3/1000000)</f>
        <v>16.357335150185662</v>
      </c>
      <c r="I58">
        <f>48.76/(Jövedelem!G3/1000000)</f>
        <v>17.237137192906047</v>
      </c>
      <c r="J58">
        <f>51.43/(Jövedelem!H3/1000000)</f>
        <v>15.404337655413682</v>
      </c>
      <c r="K58">
        <f>56.28/(Jövedelem!I3/1000000)</f>
        <v>15.09069297330894</v>
      </c>
      <c r="L58" s="14">
        <f t="shared" si="32"/>
        <v>45.446107753608572</v>
      </c>
      <c r="M58" s="14">
        <f t="shared" si="32"/>
        <v>36.720473831951779</v>
      </c>
      <c r="N58" s="14">
        <f t="shared" si="32"/>
        <v>51.581031718741471</v>
      </c>
      <c r="O58" s="14">
        <f t="shared" si="32"/>
        <v>50.5</v>
      </c>
      <c r="P58" s="14">
        <f t="shared" si="32"/>
        <v>45.175147178339159</v>
      </c>
      <c r="Q58" s="14">
        <f t="shared" si="32"/>
        <v>56.267855895607489</v>
      </c>
      <c r="R58" s="14">
        <f t="shared" si="32"/>
        <v>58.166137201411573</v>
      </c>
      <c r="S58">
        <f>MEDIAN(E58:K58)</f>
        <v>16.357335150185662</v>
      </c>
      <c r="T58">
        <f>S58*0.5</f>
        <v>8.178667575092831</v>
      </c>
      <c r="U58">
        <f>S58*1.5</f>
        <v>24.536002725278493</v>
      </c>
      <c r="V58">
        <v>1</v>
      </c>
    </row>
    <row r="59" spans="1:22" x14ac:dyDescent="0.45">
      <c r="A59" t="s">
        <v>99</v>
      </c>
      <c r="B59" t="s">
        <v>65</v>
      </c>
      <c r="C59" s="8" t="s">
        <v>280</v>
      </c>
      <c r="D59" t="s">
        <v>17</v>
      </c>
      <c r="E59">
        <f>K59/(1-0.234)</f>
        <v>132.37597911227155</v>
      </c>
      <c r="F59">
        <f t="shared" ref="F59:H66" si="33">E59-(($E59-$I59)/4)</f>
        <v>122.07874692413172</v>
      </c>
      <c r="G59">
        <f t="shared" si="33"/>
        <v>111.78151473599189</v>
      </c>
      <c r="H59">
        <f t="shared" si="33"/>
        <v>101.48428254785206</v>
      </c>
      <c r="I59">
        <f>K59/1.112</f>
        <v>91.187050359712231</v>
      </c>
      <c r="J59" s="18">
        <f t="shared" ref="J59:J66" si="34">K59-((K59-I59)/2)</f>
        <v>96.293525179856118</v>
      </c>
      <c r="K59">
        <v>101.4</v>
      </c>
      <c r="L59" s="14">
        <f t="shared" ref="L59:L67" si="35">IF(E59&lt;$T59,1,IF(E59&gt;$U59,100,(((((E59-$T59)/($U59-$T59))*99)+1))))</f>
        <v>90.565274151436043</v>
      </c>
      <c r="M59" s="14">
        <f t="shared" ref="M59:M67" si="36">IF(F59&lt;$T59,1,IF(F59&gt;$U59,100,(((((F59-$T59)/($U59-$T59))*99)+1))))</f>
        <v>77.82244931861301</v>
      </c>
      <c r="N59" s="14">
        <f t="shared" ref="N59:N67" si="37">IF(G59&lt;$T59,1,IF(G59&gt;$U59,100,(((((G59-$T59)/($U59-$T59))*99)+1))))</f>
        <v>65.079624485789964</v>
      </c>
      <c r="O59" s="14">
        <f t="shared" ref="O59:O67" si="38">IF(H59&lt;$T59,1,IF(H59&gt;$U59,100,(((((H59-$T59)/($U59-$T59))*99)+1))))</f>
        <v>52.336799652966924</v>
      </c>
      <c r="P59" s="14">
        <f t="shared" ref="P59:P67" si="39">IF(I59&lt;$T59,1,IF(I59&gt;$U59,100,(((((I59-$T59)/($U59-$T59))*99)+1))))</f>
        <v>39.593974820143885</v>
      </c>
      <c r="Q59" s="14">
        <f t="shared" ref="Q59:Q67" si="40">IF(J59&lt;$T59,1,IF(J59&gt;$U59,100,(((((J59-$T59)/($U59-$T59))*99)+1))))</f>
        <v>45.913237410071943</v>
      </c>
      <c r="R59" s="14">
        <f t="shared" ref="R59:R67" si="41">IF(K59&lt;$T59,1,IF(K59&gt;$U59,100,(((((K59-$T59)/($U59-$T59))*99)+1))))</f>
        <v>52.232500000000009</v>
      </c>
      <c r="S59">
        <v>100</v>
      </c>
      <c r="T59">
        <v>60</v>
      </c>
      <c r="U59">
        <v>140</v>
      </c>
      <c r="V59">
        <v>0.66</v>
      </c>
    </row>
    <row r="60" spans="1:22" x14ac:dyDescent="0.45">
      <c r="A60" t="s">
        <v>102</v>
      </c>
      <c r="B60" t="s">
        <v>65</v>
      </c>
      <c r="C60" s="8" t="s">
        <v>281</v>
      </c>
      <c r="D60" t="s">
        <v>17</v>
      </c>
      <c r="E60" s="18">
        <f>K60/1.307</f>
        <v>60.367253251721507</v>
      </c>
      <c r="F60">
        <f t="shared" si="33"/>
        <v>67.973943966409081</v>
      </c>
      <c r="G60">
        <f t="shared" si="33"/>
        <v>75.580634681096655</v>
      </c>
      <c r="H60">
        <f t="shared" si="33"/>
        <v>83.187325395784228</v>
      </c>
      <c r="I60" s="18">
        <f>K60/(1-0.131)</f>
        <v>90.794016110471816</v>
      </c>
      <c r="J60" s="18">
        <f t="shared" si="34"/>
        <v>84.847008055235904</v>
      </c>
      <c r="K60" s="18">
        <v>78.900000000000006</v>
      </c>
      <c r="L60" s="14">
        <f t="shared" si="35"/>
        <v>1.4544758990053654</v>
      </c>
      <c r="M60" s="14">
        <f t="shared" si="36"/>
        <v>10.867755658431237</v>
      </c>
      <c r="N60" s="14">
        <f t="shared" si="37"/>
        <v>20.281035417857112</v>
      </c>
      <c r="O60" s="14">
        <f t="shared" si="38"/>
        <v>29.694315177282981</v>
      </c>
      <c r="P60" s="14">
        <f t="shared" si="39"/>
        <v>39.107594936708871</v>
      </c>
      <c r="Q60" s="14">
        <f t="shared" si="40"/>
        <v>31.748172468354429</v>
      </c>
      <c r="R60" s="14">
        <f t="shared" si="41"/>
        <v>24.388750000000009</v>
      </c>
      <c r="S60">
        <v>100</v>
      </c>
      <c r="T60">
        <v>60</v>
      </c>
      <c r="U60">
        <v>140</v>
      </c>
      <c r="V60">
        <v>0.66</v>
      </c>
    </row>
    <row r="61" spans="1:22" x14ac:dyDescent="0.45">
      <c r="A61" t="s">
        <v>103</v>
      </c>
      <c r="B61" t="s">
        <v>65</v>
      </c>
      <c r="C61" s="8" t="s">
        <v>281</v>
      </c>
      <c r="D61" t="s">
        <v>17</v>
      </c>
      <c r="E61">
        <f>K61/1.494</f>
        <v>69.14323962516734</v>
      </c>
      <c r="F61">
        <f t="shared" si="33"/>
        <v>90.633705995151786</v>
      </c>
      <c r="G61">
        <f t="shared" si="33"/>
        <v>112.12417236513623</v>
      </c>
      <c r="H61">
        <f t="shared" si="33"/>
        <v>133.61463873512068</v>
      </c>
      <c r="I61">
        <f>K61/(1-0.334)</f>
        <v>155.10510510510511</v>
      </c>
      <c r="J61" s="18">
        <f t="shared" si="34"/>
        <v>129.20255255255256</v>
      </c>
      <c r="K61">
        <v>103.3</v>
      </c>
      <c r="L61" s="14">
        <f t="shared" si="35"/>
        <v>12.314759036144583</v>
      </c>
      <c r="M61" s="14">
        <f t="shared" si="36"/>
        <v>38.909211169000336</v>
      </c>
      <c r="N61" s="14">
        <f t="shared" si="37"/>
        <v>65.503663301856093</v>
      </c>
      <c r="O61" s="14">
        <f t="shared" si="38"/>
        <v>92.098115434711843</v>
      </c>
      <c r="P61" s="14">
        <f t="shared" si="39"/>
        <v>100</v>
      </c>
      <c r="Q61" s="14">
        <f t="shared" si="40"/>
        <v>86.638158783783794</v>
      </c>
      <c r="R61" s="14">
        <f t="shared" si="41"/>
        <v>54.583750000000002</v>
      </c>
      <c r="S61">
        <v>100</v>
      </c>
      <c r="T61">
        <v>60</v>
      </c>
      <c r="U61">
        <v>140</v>
      </c>
      <c r="V61">
        <v>0.66</v>
      </c>
    </row>
    <row r="62" spans="1:22" x14ac:dyDescent="0.45">
      <c r="A62" t="s">
        <v>104</v>
      </c>
      <c r="B62" t="s">
        <v>65</v>
      </c>
      <c r="C62" s="8" t="s">
        <v>280</v>
      </c>
      <c r="D62" t="s">
        <v>17</v>
      </c>
      <c r="E62">
        <f>K62/(1-0.088)</f>
        <v>74.780701754385959</v>
      </c>
      <c r="F62">
        <f t="shared" si="33"/>
        <v>73.626678579163951</v>
      </c>
      <c r="G62">
        <f t="shared" si="33"/>
        <v>72.472655403941943</v>
      </c>
      <c r="H62">
        <f t="shared" si="33"/>
        <v>71.318632228719935</v>
      </c>
      <c r="I62">
        <f>K62/(1-0.028)</f>
        <v>70.164609053497941</v>
      </c>
      <c r="J62" s="18">
        <f t="shared" si="34"/>
        <v>69.182304526748965</v>
      </c>
      <c r="K62">
        <v>68.2</v>
      </c>
      <c r="L62" s="14">
        <f t="shared" si="35"/>
        <v>19.291118421052623</v>
      </c>
      <c r="M62" s="14">
        <f t="shared" si="36"/>
        <v>17.863014741715389</v>
      </c>
      <c r="N62" s="14">
        <f t="shared" si="37"/>
        <v>16.434911062378156</v>
      </c>
      <c r="O62" s="14">
        <f t="shared" si="38"/>
        <v>15.006807383040918</v>
      </c>
      <c r="P62" s="14">
        <f t="shared" si="39"/>
        <v>13.578703703703702</v>
      </c>
      <c r="Q62" s="14">
        <f t="shared" si="40"/>
        <v>12.363101851851843</v>
      </c>
      <c r="R62" s="14">
        <f t="shared" si="41"/>
        <v>11.147500000000004</v>
      </c>
      <c r="S62">
        <v>100</v>
      </c>
      <c r="T62">
        <v>60</v>
      </c>
      <c r="U62">
        <v>140</v>
      </c>
      <c r="V62">
        <v>0.66</v>
      </c>
    </row>
    <row r="63" spans="1:22" x14ac:dyDescent="0.45">
      <c r="A63" t="s">
        <v>105</v>
      </c>
      <c r="B63" t="s">
        <v>65</v>
      </c>
      <c r="C63" s="8" t="s">
        <v>280</v>
      </c>
      <c r="D63" t="s">
        <v>17</v>
      </c>
      <c r="E63">
        <f>K63/1.109</f>
        <v>75.924256086564469</v>
      </c>
      <c r="F63">
        <f t="shared" si="33"/>
        <v>79.218324340055631</v>
      </c>
      <c r="G63">
        <f t="shared" si="33"/>
        <v>82.512392593546792</v>
      </c>
      <c r="H63">
        <f t="shared" si="33"/>
        <v>85.806460847037954</v>
      </c>
      <c r="I63">
        <f>K63/(1-0.055)</f>
        <v>89.100529100529101</v>
      </c>
      <c r="J63" s="18">
        <f t="shared" si="34"/>
        <v>86.650264550264552</v>
      </c>
      <c r="K63">
        <v>84.2</v>
      </c>
      <c r="L63" s="14">
        <f t="shared" si="35"/>
        <v>20.706266907123531</v>
      </c>
      <c r="M63" s="14">
        <f t="shared" si="36"/>
        <v>24.782676370818841</v>
      </c>
      <c r="N63" s="14">
        <f t="shared" si="37"/>
        <v>28.859085834514154</v>
      </c>
      <c r="O63" s="14">
        <f t="shared" si="38"/>
        <v>32.935495298209467</v>
      </c>
      <c r="P63" s="14">
        <f t="shared" si="39"/>
        <v>37.011904761904766</v>
      </c>
      <c r="Q63" s="14">
        <f t="shared" si="40"/>
        <v>33.979702380952382</v>
      </c>
      <c r="R63" s="14">
        <f t="shared" si="41"/>
        <v>30.947500000000005</v>
      </c>
      <c r="S63">
        <v>100</v>
      </c>
      <c r="T63">
        <v>60</v>
      </c>
      <c r="U63">
        <v>140</v>
      </c>
      <c r="V63">
        <v>0.66</v>
      </c>
    </row>
    <row r="64" spans="1:22" x14ac:dyDescent="0.45">
      <c r="A64" t="s">
        <v>106</v>
      </c>
      <c r="B64" t="s">
        <v>65</v>
      </c>
      <c r="C64" s="8" t="s">
        <v>280</v>
      </c>
      <c r="D64" t="s">
        <v>17</v>
      </c>
      <c r="E64">
        <f>K64/1.226</f>
        <v>34.665579119086459</v>
      </c>
      <c r="F64">
        <f t="shared" si="33"/>
        <v>37.498102088232592</v>
      </c>
      <c r="G64">
        <f t="shared" si="33"/>
        <v>40.330625057378725</v>
      </c>
      <c r="H64">
        <f t="shared" si="33"/>
        <v>43.163148026524858</v>
      </c>
      <c r="I64">
        <f>K64/(1-0.076)</f>
        <v>45.995670995670991</v>
      </c>
      <c r="J64" s="18">
        <f t="shared" si="34"/>
        <v>44.247835497835496</v>
      </c>
      <c r="K64">
        <v>42.5</v>
      </c>
      <c r="L64" s="14">
        <f t="shared" si="35"/>
        <v>1</v>
      </c>
      <c r="M64" s="14">
        <f t="shared" si="36"/>
        <v>1</v>
      </c>
      <c r="N64" s="14">
        <f t="shared" si="37"/>
        <v>1</v>
      </c>
      <c r="O64" s="14">
        <f t="shared" si="38"/>
        <v>1</v>
      </c>
      <c r="P64" s="14">
        <f t="shared" si="39"/>
        <v>1</v>
      </c>
      <c r="Q64" s="14">
        <f t="shared" si="40"/>
        <v>1</v>
      </c>
      <c r="R64" s="14">
        <f t="shared" si="41"/>
        <v>1</v>
      </c>
      <c r="S64">
        <v>100</v>
      </c>
      <c r="T64">
        <v>60</v>
      </c>
      <c r="U64">
        <v>140</v>
      </c>
      <c r="V64">
        <v>0.66</v>
      </c>
    </row>
    <row r="65" spans="1:22" x14ac:dyDescent="0.45">
      <c r="A65" t="s">
        <v>107</v>
      </c>
      <c r="B65" t="s">
        <v>65</v>
      </c>
      <c r="C65" s="8" t="s">
        <v>280</v>
      </c>
      <c r="D65" t="s">
        <v>17</v>
      </c>
      <c r="E65">
        <f>K65/1.083</f>
        <v>134.62603878116346</v>
      </c>
      <c r="F65">
        <f t="shared" si="33"/>
        <v>132.0967707596557</v>
      </c>
      <c r="G65">
        <f t="shared" si="33"/>
        <v>129.56750273814794</v>
      </c>
      <c r="H65">
        <f t="shared" si="33"/>
        <v>127.03823471664016</v>
      </c>
      <c r="I65">
        <f>K65/1.171</f>
        <v>124.50896669513237</v>
      </c>
      <c r="J65" s="18">
        <f t="shared" si="34"/>
        <v>135.15448334756618</v>
      </c>
      <c r="K65">
        <v>145.80000000000001</v>
      </c>
      <c r="L65" s="14">
        <f t="shared" si="35"/>
        <v>93.349722991689774</v>
      </c>
      <c r="M65" s="14">
        <f t="shared" si="36"/>
        <v>90.219753815073929</v>
      </c>
      <c r="N65" s="14">
        <f t="shared" si="37"/>
        <v>87.08978463845807</v>
      </c>
      <c r="O65" s="14">
        <f t="shared" si="38"/>
        <v>83.959815461842197</v>
      </c>
      <c r="P65" s="14">
        <f t="shared" si="39"/>
        <v>80.82984628522631</v>
      </c>
      <c r="Q65" s="14">
        <f t="shared" si="40"/>
        <v>94.003673142613152</v>
      </c>
      <c r="R65" s="14">
        <f t="shared" si="41"/>
        <v>100</v>
      </c>
      <c r="S65">
        <v>100</v>
      </c>
      <c r="T65">
        <v>60</v>
      </c>
      <c r="U65">
        <v>140</v>
      </c>
      <c r="V65">
        <v>0.66</v>
      </c>
    </row>
    <row r="66" spans="1:22" x14ac:dyDescent="0.45">
      <c r="A66" t="s">
        <v>108</v>
      </c>
      <c r="B66" t="s">
        <v>65</v>
      </c>
      <c r="C66" s="8" t="s">
        <v>280</v>
      </c>
      <c r="D66" t="s">
        <v>17</v>
      </c>
      <c r="E66">
        <f>K66/1.097</f>
        <v>39.927073837739286</v>
      </c>
      <c r="F66">
        <f t="shared" si="33"/>
        <v>40.840827766364164</v>
      </c>
      <c r="G66">
        <f t="shared" si="33"/>
        <v>41.754581694989042</v>
      </c>
      <c r="H66">
        <f t="shared" si="33"/>
        <v>42.66833562361392</v>
      </c>
      <c r="I66">
        <f>K66/1.005</f>
        <v>43.582089552238806</v>
      </c>
      <c r="J66" s="18">
        <f t="shared" si="34"/>
        <v>43.691044776119398</v>
      </c>
      <c r="K66">
        <v>43.8</v>
      </c>
      <c r="L66" s="14">
        <f t="shared" si="35"/>
        <v>1</v>
      </c>
      <c r="M66" s="14">
        <f t="shared" si="36"/>
        <v>1</v>
      </c>
      <c r="N66" s="14">
        <f t="shared" si="37"/>
        <v>1</v>
      </c>
      <c r="O66" s="14">
        <f t="shared" si="38"/>
        <v>1</v>
      </c>
      <c r="P66" s="14">
        <f t="shared" si="39"/>
        <v>1</v>
      </c>
      <c r="Q66" s="14">
        <f t="shared" si="40"/>
        <v>1</v>
      </c>
      <c r="R66" s="14">
        <f t="shared" si="41"/>
        <v>1</v>
      </c>
      <c r="S66">
        <v>100</v>
      </c>
      <c r="T66">
        <v>60</v>
      </c>
      <c r="U66">
        <v>140</v>
      </c>
      <c r="V66">
        <v>0.66</v>
      </c>
    </row>
    <row r="67" spans="1:22" x14ac:dyDescent="0.45">
      <c r="A67" t="s">
        <v>109</v>
      </c>
      <c r="B67" t="s">
        <v>65</v>
      </c>
      <c r="C67" t="s">
        <v>16</v>
      </c>
      <c r="D67" t="s">
        <v>17</v>
      </c>
      <c r="E67" s="20">
        <f>3874/916155</f>
        <v>4.2285421135069938E-3</v>
      </c>
      <c r="F67" s="20">
        <f>5838/919425</f>
        <v>6.3496206868423203E-3</v>
      </c>
      <c r="G67" s="20">
        <f>6341/924664</f>
        <v>6.8576261214884542E-3</v>
      </c>
      <c r="H67" s="20">
        <f>7038/930714</f>
        <v>7.5619363198576577E-3</v>
      </c>
      <c r="I67" s="20">
        <f>6610/937543</f>
        <v>7.0503432909210561E-3</v>
      </c>
      <c r="J67" s="20">
        <f>6359/963103</f>
        <v>6.6026167502333602E-3</v>
      </c>
      <c r="K67" s="20">
        <f>4607/969208</f>
        <v>4.7533656346212582E-3</v>
      </c>
      <c r="L67" s="14">
        <f t="shared" si="35"/>
        <v>14.902993854277042</v>
      </c>
      <c r="M67" s="14">
        <f t="shared" si="36"/>
        <v>46.706563060800441</v>
      </c>
      <c r="N67" s="14">
        <f t="shared" si="37"/>
        <v>54.323624588442456</v>
      </c>
      <c r="O67" s="14">
        <f t="shared" si="38"/>
        <v>64.884090578852522</v>
      </c>
      <c r="P67" s="14">
        <f t="shared" si="39"/>
        <v>57.213236464393496</v>
      </c>
      <c r="Q67" s="14">
        <f t="shared" si="40"/>
        <v>50.5</v>
      </c>
      <c r="R67" s="14">
        <f t="shared" si="41"/>
        <v>22.772226698736141</v>
      </c>
      <c r="S67">
        <f t="shared" ref="S67:S75" si="42">MEDIAN(E67:K67)</f>
        <v>6.6026167502333602E-3</v>
      </c>
      <c r="T67">
        <f t="shared" ref="T67:T71" si="43">S67*0.5</f>
        <v>3.3013083751166801E-3</v>
      </c>
      <c r="U67">
        <f t="shared" ref="U67:U71" si="44">S67*1.5</f>
        <v>9.9039251253500403E-3</v>
      </c>
      <c r="V67">
        <v>1</v>
      </c>
    </row>
    <row r="68" spans="1:22" x14ac:dyDescent="0.45">
      <c r="A68" t="s">
        <v>282</v>
      </c>
      <c r="B68" t="s">
        <v>112</v>
      </c>
      <c r="C68" t="s">
        <v>16</v>
      </c>
      <c r="D68" t="s">
        <v>10</v>
      </c>
      <c r="E68" s="27">
        <f>110191623/E146</f>
        <v>63.964561983586215</v>
      </c>
      <c r="F68" s="28">
        <f>107130585/F146</f>
        <v>62.294169569699832</v>
      </c>
      <c r="G68" s="28">
        <f>108126277/G146</f>
        <v>63.46097980834864</v>
      </c>
      <c r="H68" s="28">
        <f>96357287/H146</f>
        <v>57.305283522245077</v>
      </c>
      <c r="I68" s="28">
        <f>85627142/I146</f>
        <v>51.220891260095122</v>
      </c>
      <c r="J68" s="27">
        <f>107672706/J146</f>
        <v>64.143853288399413</v>
      </c>
      <c r="K68" s="29">
        <f>J68</f>
        <v>64.143853288399413</v>
      </c>
      <c r="L68" s="14">
        <f t="shared" ref="L68:R68" si="45">101-IF(E68&lt;$T68,1,IF(E68&gt;$U68,100,(((((E68-$T68)/($U68-$T68))*99)+1))))</f>
        <v>49.71440489101996</v>
      </c>
      <c r="M68" s="14">
        <f t="shared" si="45"/>
        <v>52.320239995901154</v>
      </c>
      <c r="N68" s="14">
        <f t="shared" si="45"/>
        <v>50.5</v>
      </c>
      <c r="O68" s="14">
        <f t="shared" si="45"/>
        <v>60.102970741464681</v>
      </c>
      <c r="P68" s="14">
        <f t="shared" si="45"/>
        <v>69.594706226355541</v>
      </c>
      <c r="Q68" s="14">
        <f t="shared" si="45"/>
        <v>49.434707993334001</v>
      </c>
      <c r="R68" s="14">
        <f t="shared" si="45"/>
        <v>49.434707993334001</v>
      </c>
      <c r="S68">
        <f t="shared" si="42"/>
        <v>63.46097980834864</v>
      </c>
      <c r="T68">
        <f t="shared" si="43"/>
        <v>31.73048990417432</v>
      </c>
      <c r="U68">
        <f t="shared" si="44"/>
        <v>95.191469712522959</v>
      </c>
      <c r="V68">
        <v>0.66</v>
      </c>
    </row>
    <row r="69" spans="1:22" x14ac:dyDescent="0.45">
      <c r="A69" t="s">
        <v>283</v>
      </c>
      <c r="B69" t="s">
        <v>112</v>
      </c>
      <c r="C69" s="8" t="s">
        <v>284</v>
      </c>
      <c r="D69" t="s">
        <v>17</v>
      </c>
      <c r="E69">
        <f>25889.2/127726.7</f>
        <v>0.20269215442033656</v>
      </c>
      <c r="F69">
        <f>31995.1/177995.3</f>
        <v>0.17975249908284097</v>
      </c>
      <c r="G69">
        <f>40911.8/114518.4</f>
        <v>0.35725088719367371</v>
      </c>
      <c r="H69">
        <f>41220.1/115759.1</f>
        <v>0.35608518034435305</v>
      </c>
      <c r="I69">
        <f>25262.9/99419.4</f>
        <v>0.25410432973846153</v>
      </c>
      <c r="J69">
        <f>35092.7/103564.3</f>
        <v>0.33884939115119783</v>
      </c>
      <c r="K69">
        <f>38726.8/100340</f>
        <v>0.38595575044847519</v>
      </c>
      <c r="L69" s="14">
        <f t="shared" ref="L69:R72" si="46">IF(E69&lt;$T69,1,IF(E69&gt;$U69,100,(((((E69-$T69)/($U69-$T69))*99)+1))))</f>
        <v>10.71959375355479</v>
      </c>
      <c r="M69" s="14">
        <f t="shared" si="46"/>
        <v>4.0174247731220945</v>
      </c>
      <c r="N69" s="14">
        <f t="shared" si="46"/>
        <v>55.87627676418704</v>
      </c>
      <c r="O69" s="14">
        <f t="shared" si="46"/>
        <v>55.535697789880281</v>
      </c>
      <c r="P69" s="14">
        <f t="shared" si="46"/>
        <v>25.740442217240691</v>
      </c>
      <c r="Q69" s="14">
        <f t="shared" si="46"/>
        <v>50.5</v>
      </c>
      <c r="R69" s="14">
        <f t="shared" si="46"/>
        <v>64.262838866514443</v>
      </c>
      <c r="S69">
        <f t="shared" si="42"/>
        <v>0.33884939115119783</v>
      </c>
      <c r="T69">
        <f t="shared" si="43"/>
        <v>0.16942469557559892</v>
      </c>
      <c r="U69">
        <f t="shared" si="44"/>
        <v>0.50827408672679675</v>
      </c>
      <c r="V69">
        <v>0.66</v>
      </c>
    </row>
    <row r="70" spans="1:22" x14ac:dyDescent="0.45">
      <c r="A70" t="s">
        <v>285</v>
      </c>
      <c r="B70" t="s">
        <v>112</v>
      </c>
      <c r="C70" s="8" t="s">
        <v>284</v>
      </c>
      <c r="D70" t="s">
        <v>17</v>
      </c>
      <c r="E70">
        <f>127726.7/670817.4</f>
        <v>0.19040457209368747</v>
      </c>
      <c r="F70">
        <f>177995.3/680416.6</f>
        <v>0.26159752716203571</v>
      </c>
      <c r="G70">
        <f>114518.4/648859</f>
        <v>0.17649196512647586</v>
      </c>
      <c r="H70">
        <f>115759.1/639160.6</f>
        <v>0.18111113231948278</v>
      </c>
      <c r="I70">
        <f>99419.4/615115.1</f>
        <v>0.16162731170150108</v>
      </c>
      <c r="J70">
        <f>103564.3/605996.9</f>
        <v>0.17089905905459252</v>
      </c>
      <c r="K70">
        <f>100340/590244</f>
        <v>0.16999749256239793</v>
      </c>
      <c r="L70" s="14">
        <f t="shared" si="46"/>
        <v>58.304027162182301</v>
      </c>
      <c r="M70" s="14">
        <f t="shared" si="46"/>
        <v>98.238437472111912</v>
      </c>
      <c r="N70" s="14">
        <f t="shared" si="46"/>
        <v>50.499999999999993</v>
      </c>
      <c r="O70" s="14">
        <f t="shared" si="46"/>
        <v>53.091038927919357</v>
      </c>
      <c r="P70" s="14">
        <f t="shared" si="46"/>
        <v>42.161939465527844</v>
      </c>
      <c r="Q70" s="14">
        <f t="shared" si="46"/>
        <v>47.362759725522537</v>
      </c>
      <c r="R70" s="14">
        <f t="shared" si="46"/>
        <v>46.857042183858233</v>
      </c>
      <c r="S70">
        <f t="shared" si="42"/>
        <v>0.17649196512647586</v>
      </c>
      <c r="T70">
        <f t="shared" si="43"/>
        <v>8.8245982563237929E-2</v>
      </c>
      <c r="U70">
        <f t="shared" si="44"/>
        <v>0.26473794768971382</v>
      </c>
      <c r="V70">
        <v>0.66</v>
      </c>
    </row>
    <row r="71" spans="1:22" x14ac:dyDescent="0.45">
      <c r="A71" t="s">
        <v>118</v>
      </c>
      <c r="B71" t="s">
        <v>112</v>
      </c>
      <c r="C71" s="11" t="s">
        <v>286</v>
      </c>
      <c r="D71" t="s">
        <v>17</v>
      </c>
      <c r="E71">
        <v>4.2</v>
      </c>
      <c r="F71">
        <v>12.1</v>
      </c>
      <c r="G71">
        <v>13.5</v>
      </c>
      <c r="H71">
        <v>17</v>
      </c>
      <c r="I71">
        <v>6.8</v>
      </c>
      <c r="J71">
        <v>2.6</v>
      </c>
      <c r="K71" s="2">
        <f>J71</f>
        <v>2.6</v>
      </c>
      <c r="L71" s="14">
        <f t="shared" si="46"/>
        <v>12.647058823529417</v>
      </c>
      <c r="M71" s="14">
        <f t="shared" si="46"/>
        <v>100</v>
      </c>
      <c r="N71" s="14">
        <f t="shared" si="46"/>
        <v>100</v>
      </c>
      <c r="O71" s="14">
        <f t="shared" si="46"/>
        <v>100</v>
      </c>
      <c r="P71" s="14">
        <f t="shared" si="46"/>
        <v>50.500000000000014</v>
      </c>
      <c r="Q71" s="14">
        <f t="shared" si="46"/>
        <v>1</v>
      </c>
      <c r="R71" s="14">
        <f t="shared" si="46"/>
        <v>1</v>
      </c>
      <c r="S71">
        <f t="shared" si="42"/>
        <v>6.8</v>
      </c>
      <c r="T71">
        <f t="shared" si="43"/>
        <v>3.4</v>
      </c>
      <c r="U71">
        <f t="shared" si="44"/>
        <v>10.199999999999999</v>
      </c>
      <c r="V71">
        <v>0.66</v>
      </c>
    </row>
    <row r="72" spans="1:22" x14ac:dyDescent="0.45">
      <c r="A72" t="s">
        <v>120</v>
      </c>
      <c r="B72" t="s">
        <v>112</v>
      </c>
      <c r="C72" s="11" t="s">
        <v>121</v>
      </c>
      <c r="D72" t="s">
        <v>17</v>
      </c>
      <c r="E72">
        <v>69539</v>
      </c>
      <c r="F72">
        <v>70501</v>
      </c>
      <c r="G72">
        <v>73400</v>
      </c>
      <c r="H72">
        <v>73813</v>
      </c>
      <c r="I72">
        <v>74248</v>
      </c>
      <c r="J72">
        <v>79571</v>
      </c>
      <c r="K72">
        <v>79746</v>
      </c>
      <c r="L72" s="14">
        <f t="shared" si="46"/>
        <v>36.168987847669115</v>
      </c>
      <c r="M72" s="14">
        <f t="shared" si="46"/>
        <v>39.394639155704283</v>
      </c>
      <c r="N72" s="14">
        <f t="shared" si="46"/>
        <v>49.115182962350815</v>
      </c>
      <c r="O72" s="14">
        <f t="shared" si="46"/>
        <v>50.500000000000014</v>
      </c>
      <c r="P72" s="14">
        <f t="shared" si="46"/>
        <v>51.958584531180158</v>
      </c>
      <c r="Q72" s="14">
        <f t="shared" si="46"/>
        <v>69.806964897782251</v>
      </c>
      <c r="R72" s="14">
        <f t="shared" si="46"/>
        <v>70.393751778142075</v>
      </c>
      <c r="S72">
        <f t="shared" si="42"/>
        <v>73813</v>
      </c>
      <c r="T72">
        <f>S72*0.8</f>
        <v>59050.400000000001</v>
      </c>
      <c r="U72">
        <f>S72*1.2</f>
        <v>88575.599999999991</v>
      </c>
      <c r="V72">
        <v>0.66</v>
      </c>
    </row>
    <row r="73" spans="1:22" x14ac:dyDescent="0.45">
      <c r="A73" t="s">
        <v>123</v>
      </c>
      <c r="B73" t="s">
        <v>112</v>
      </c>
      <c r="C73" t="s">
        <v>16</v>
      </c>
      <c r="D73" t="s">
        <v>10</v>
      </c>
      <c r="E73">
        <v>6.9</v>
      </c>
      <c r="F73">
        <v>7.2</v>
      </c>
      <c r="G73">
        <v>6.9</v>
      </c>
      <c r="H73">
        <v>6.3</v>
      </c>
      <c r="I73">
        <v>3.2</v>
      </c>
      <c r="J73">
        <v>3.2</v>
      </c>
      <c r="K73">
        <v>2.4</v>
      </c>
      <c r="L73" s="14">
        <f t="shared" ref="L73:R75" si="47">101-IF(E73&lt;$T73,1,IF(E73&gt;$U73,100,(((((E73-$T73)/($U73-$T73))*99)+1))))</f>
        <v>41.071428571428548</v>
      </c>
      <c r="M73" s="14">
        <f t="shared" si="47"/>
        <v>36.357142857142833</v>
      </c>
      <c r="N73" s="14">
        <f t="shared" si="47"/>
        <v>41.071428571428548</v>
      </c>
      <c r="O73" s="14">
        <f t="shared" si="47"/>
        <v>50.499999999999986</v>
      </c>
      <c r="P73" s="14">
        <f t="shared" si="47"/>
        <v>99.214285714285708</v>
      </c>
      <c r="Q73" s="14">
        <f t="shared" si="47"/>
        <v>99.214285714285708</v>
      </c>
      <c r="R73" s="14">
        <f t="shared" si="47"/>
        <v>100</v>
      </c>
      <c r="S73">
        <f t="shared" si="42"/>
        <v>6.3</v>
      </c>
      <c r="T73">
        <f>S73*0.5</f>
        <v>3.15</v>
      </c>
      <c r="U73">
        <f>S73*1.5</f>
        <v>9.4499999999999993</v>
      </c>
      <c r="V73">
        <v>1</v>
      </c>
    </row>
    <row r="74" spans="1:22" x14ac:dyDescent="0.45">
      <c r="A74" t="s">
        <v>124</v>
      </c>
      <c r="B74" t="s">
        <v>112</v>
      </c>
      <c r="C74" t="s">
        <v>16</v>
      </c>
      <c r="D74" t="s">
        <v>10</v>
      </c>
      <c r="E74">
        <v>10.1</v>
      </c>
      <c r="F74">
        <v>10.1</v>
      </c>
      <c r="G74">
        <v>9.9</v>
      </c>
      <c r="H74">
        <v>8.4</v>
      </c>
      <c r="I74">
        <v>5.5</v>
      </c>
      <c r="J74">
        <v>5</v>
      </c>
      <c r="K74">
        <v>3.1</v>
      </c>
      <c r="L74" s="14">
        <f t="shared" si="47"/>
        <v>30.464285714285737</v>
      </c>
      <c r="M74" s="14">
        <f t="shared" si="47"/>
        <v>30.464285714285737</v>
      </c>
      <c r="N74" s="14">
        <f t="shared" si="47"/>
        <v>32.821428571428584</v>
      </c>
      <c r="O74" s="14">
        <f t="shared" si="47"/>
        <v>50.500000000000014</v>
      </c>
      <c r="P74" s="14">
        <f t="shared" si="47"/>
        <v>84.678571428571431</v>
      </c>
      <c r="Q74" s="14">
        <f t="shared" si="47"/>
        <v>90.571428571428584</v>
      </c>
      <c r="R74" s="14">
        <f t="shared" si="47"/>
        <v>100</v>
      </c>
      <c r="S74">
        <f t="shared" si="42"/>
        <v>8.4</v>
      </c>
      <c r="T74">
        <f>S74*0.5</f>
        <v>4.2</v>
      </c>
      <c r="U74">
        <f>S74*1.5</f>
        <v>12.600000000000001</v>
      </c>
      <c r="V74">
        <v>1</v>
      </c>
    </row>
    <row r="75" spans="1:22" x14ac:dyDescent="0.45">
      <c r="A75" t="s">
        <v>125</v>
      </c>
      <c r="B75" t="s">
        <v>112</v>
      </c>
      <c r="C75" s="16" t="s">
        <v>287</v>
      </c>
      <c r="D75" t="s">
        <v>10</v>
      </c>
      <c r="E75">
        <v>9.1999999999999993</v>
      </c>
      <c r="F75">
        <v>9.1999999999999993</v>
      </c>
      <c r="G75">
        <v>9.3000000000000007</v>
      </c>
      <c r="H75">
        <v>9.3000000000000007</v>
      </c>
      <c r="I75">
        <v>9.1999999999999993</v>
      </c>
      <c r="J75">
        <v>9.1999999999999993</v>
      </c>
      <c r="K75">
        <v>9.3000000000000007</v>
      </c>
      <c r="L75" s="14">
        <f t="shared" si="47"/>
        <v>50.5</v>
      </c>
      <c r="M75" s="14">
        <f t="shared" si="47"/>
        <v>50.5</v>
      </c>
      <c r="N75" s="14">
        <f t="shared" si="47"/>
        <v>49.423913043478244</v>
      </c>
      <c r="O75" s="14">
        <f t="shared" si="47"/>
        <v>49.423913043478244</v>
      </c>
      <c r="P75" s="14">
        <f t="shared" si="47"/>
        <v>50.5</v>
      </c>
      <c r="Q75" s="14">
        <f t="shared" si="47"/>
        <v>50.5</v>
      </c>
      <c r="R75" s="14">
        <f t="shared" si="47"/>
        <v>49.423913043478244</v>
      </c>
      <c r="S75">
        <f t="shared" si="42"/>
        <v>9.1999999999999993</v>
      </c>
      <c r="T75">
        <f>S75*0.5</f>
        <v>4.5999999999999996</v>
      </c>
      <c r="U75">
        <f>S75*1.5</f>
        <v>13.799999999999999</v>
      </c>
      <c r="V75">
        <v>1</v>
      </c>
    </row>
    <row r="76" spans="1:22" x14ac:dyDescent="0.45">
      <c r="A76" t="s">
        <v>127</v>
      </c>
      <c r="B76" t="s">
        <v>112</v>
      </c>
      <c r="C76" t="s">
        <v>55</v>
      </c>
      <c r="D76" t="s">
        <v>17</v>
      </c>
      <c r="E76">
        <f t="shared" ref="E76:E84" si="48">F76</f>
        <v>35.64</v>
      </c>
      <c r="F76">
        <v>35.64</v>
      </c>
      <c r="G76">
        <v>40.200000000000003</v>
      </c>
      <c r="H76">
        <v>38</v>
      </c>
      <c r="I76">
        <f t="shared" ref="I76:I84" si="49">H76</f>
        <v>38</v>
      </c>
      <c r="J76">
        <v>36</v>
      </c>
      <c r="K76">
        <v>39.299999999999997</v>
      </c>
      <c r="L76">
        <f t="shared" ref="L76:L84" si="50">E76</f>
        <v>35.64</v>
      </c>
      <c r="M76">
        <f t="shared" ref="M76:M84" si="51">F76</f>
        <v>35.64</v>
      </c>
      <c r="N76">
        <f t="shared" ref="N76:N84" si="52">G76</f>
        <v>40.200000000000003</v>
      </c>
      <c r="O76">
        <f t="shared" ref="O76:O84" si="53">H76</f>
        <v>38</v>
      </c>
      <c r="P76">
        <f t="shared" ref="P76:P84" si="54">I76</f>
        <v>38</v>
      </c>
      <c r="Q76">
        <f t="shared" ref="Q76:Q84" si="55">J76</f>
        <v>36</v>
      </c>
      <c r="R76">
        <f t="shared" ref="R76:R84" si="56">K76</f>
        <v>39.299999999999997</v>
      </c>
      <c r="V76">
        <v>1</v>
      </c>
    </row>
    <row r="77" spans="1:22" x14ac:dyDescent="0.45">
      <c r="A77" t="s">
        <v>128</v>
      </c>
      <c r="B77" t="s">
        <v>112</v>
      </c>
      <c r="C77" t="s">
        <v>55</v>
      </c>
      <c r="D77" t="s">
        <v>17</v>
      </c>
      <c r="E77">
        <f t="shared" si="48"/>
        <v>58.94</v>
      </c>
      <c r="F77">
        <v>58.94</v>
      </c>
      <c r="G77">
        <v>58.8</v>
      </c>
      <c r="H77">
        <v>56.1</v>
      </c>
      <c r="I77">
        <f t="shared" si="49"/>
        <v>56.1</v>
      </c>
      <c r="J77">
        <v>55.5</v>
      </c>
      <c r="K77">
        <v>47.4</v>
      </c>
      <c r="L77">
        <f t="shared" si="50"/>
        <v>58.94</v>
      </c>
      <c r="M77">
        <f t="shared" si="51"/>
        <v>58.94</v>
      </c>
      <c r="N77">
        <f t="shared" si="52"/>
        <v>58.8</v>
      </c>
      <c r="O77">
        <f t="shared" si="53"/>
        <v>56.1</v>
      </c>
      <c r="P77">
        <f t="shared" si="54"/>
        <v>56.1</v>
      </c>
      <c r="Q77">
        <f t="shared" si="55"/>
        <v>55.5</v>
      </c>
      <c r="R77">
        <f t="shared" si="56"/>
        <v>47.4</v>
      </c>
      <c r="V77">
        <v>1</v>
      </c>
    </row>
    <row r="78" spans="1:22" x14ac:dyDescent="0.45">
      <c r="A78" t="s">
        <v>129</v>
      </c>
      <c r="B78" t="s">
        <v>112</v>
      </c>
      <c r="C78" t="s">
        <v>55</v>
      </c>
      <c r="D78" t="s">
        <v>17</v>
      </c>
      <c r="E78">
        <f t="shared" si="48"/>
        <v>54.61</v>
      </c>
      <c r="F78">
        <v>54.61</v>
      </c>
      <c r="G78">
        <v>52.8</v>
      </c>
      <c r="H78">
        <v>52.7</v>
      </c>
      <c r="I78">
        <f t="shared" si="49"/>
        <v>52.7</v>
      </c>
      <c r="J78">
        <v>53.3</v>
      </c>
      <c r="K78">
        <v>53.9</v>
      </c>
      <c r="L78">
        <f t="shared" si="50"/>
        <v>54.61</v>
      </c>
      <c r="M78">
        <f t="shared" si="51"/>
        <v>54.61</v>
      </c>
      <c r="N78">
        <f t="shared" si="52"/>
        <v>52.8</v>
      </c>
      <c r="O78">
        <f t="shared" si="53"/>
        <v>52.7</v>
      </c>
      <c r="P78">
        <f t="shared" si="54"/>
        <v>52.7</v>
      </c>
      <c r="Q78">
        <f t="shared" si="55"/>
        <v>53.3</v>
      </c>
      <c r="R78">
        <f t="shared" si="56"/>
        <v>53.9</v>
      </c>
      <c r="V78">
        <v>1</v>
      </c>
    </row>
    <row r="79" spans="1:22" x14ac:dyDescent="0.45">
      <c r="A79" t="s">
        <v>130</v>
      </c>
      <c r="B79" t="s">
        <v>112</v>
      </c>
      <c r="C79" t="s">
        <v>55</v>
      </c>
      <c r="D79" t="s">
        <v>17</v>
      </c>
      <c r="E79">
        <f t="shared" si="48"/>
        <v>30.49</v>
      </c>
      <c r="F79">
        <v>30.49</v>
      </c>
      <c r="G79">
        <v>31.1</v>
      </c>
      <c r="H79">
        <v>29.4</v>
      </c>
      <c r="I79">
        <f t="shared" si="49"/>
        <v>29.4</v>
      </c>
      <c r="J79">
        <v>30.6</v>
      </c>
      <c r="K79">
        <v>35.5</v>
      </c>
      <c r="L79">
        <f t="shared" si="50"/>
        <v>30.49</v>
      </c>
      <c r="M79">
        <f t="shared" si="51"/>
        <v>30.49</v>
      </c>
      <c r="N79">
        <f t="shared" si="52"/>
        <v>31.1</v>
      </c>
      <c r="O79">
        <f t="shared" si="53"/>
        <v>29.4</v>
      </c>
      <c r="P79">
        <f t="shared" si="54"/>
        <v>29.4</v>
      </c>
      <c r="Q79">
        <f t="shared" si="55"/>
        <v>30.6</v>
      </c>
      <c r="R79">
        <f t="shared" si="56"/>
        <v>35.5</v>
      </c>
      <c r="V79">
        <v>1</v>
      </c>
    </row>
    <row r="80" spans="1:22" x14ac:dyDescent="0.45">
      <c r="A80" t="s">
        <v>131</v>
      </c>
      <c r="B80" t="s">
        <v>112</v>
      </c>
      <c r="C80" t="s">
        <v>55</v>
      </c>
      <c r="D80" t="s">
        <v>17</v>
      </c>
      <c r="E80">
        <f t="shared" si="48"/>
        <v>41.73</v>
      </c>
      <c r="F80">
        <v>41.73</v>
      </c>
      <c r="G80">
        <v>45.2</v>
      </c>
      <c r="H80">
        <v>46.7</v>
      </c>
      <c r="I80">
        <f t="shared" si="49"/>
        <v>46.7</v>
      </c>
      <c r="J80">
        <v>51</v>
      </c>
      <c r="K80">
        <v>52</v>
      </c>
      <c r="L80">
        <f t="shared" si="50"/>
        <v>41.73</v>
      </c>
      <c r="M80">
        <f t="shared" si="51"/>
        <v>41.73</v>
      </c>
      <c r="N80">
        <f t="shared" si="52"/>
        <v>45.2</v>
      </c>
      <c r="O80">
        <f t="shared" si="53"/>
        <v>46.7</v>
      </c>
      <c r="P80">
        <f t="shared" si="54"/>
        <v>46.7</v>
      </c>
      <c r="Q80">
        <f t="shared" si="55"/>
        <v>51</v>
      </c>
      <c r="R80">
        <f t="shared" si="56"/>
        <v>52</v>
      </c>
      <c r="V80">
        <v>1</v>
      </c>
    </row>
    <row r="81" spans="1:23" x14ac:dyDescent="0.45">
      <c r="A81" t="s">
        <v>132</v>
      </c>
      <c r="B81" t="s">
        <v>112</v>
      </c>
      <c r="C81" t="s">
        <v>55</v>
      </c>
      <c r="D81" t="s">
        <v>17</v>
      </c>
      <c r="E81">
        <f t="shared" si="48"/>
        <v>39.97</v>
      </c>
      <c r="F81">
        <v>39.97</v>
      </c>
      <c r="G81">
        <v>44.9</v>
      </c>
      <c r="H81">
        <v>43.8</v>
      </c>
      <c r="I81">
        <f t="shared" si="49"/>
        <v>43.8</v>
      </c>
      <c r="J81">
        <v>45.2</v>
      </c>
      <c r="K81">
        <v>48.8</v>
      </c>
      <c r="L81">
        <f t="shared" si="50"/>
        <v>39.97</v>
      </c>
      <c r="M81">
        <f t="shared" si="51"/>
        <v>39.97</v>
      </c>
      <c r="N81">
        <f t="shared" si="52"/>
        <v>44.9</v>
      </c>
      <c r="O81">
        <f t="shared" si="53"/>
        <v>43.8</v>
      </c>
      <c r="P81">
        <f t="shared" si="54"/>
        <v>43.8</v>
      </c>
      <c r="Q81">
        <f t="shared" si="55"/>
        <v>45.2</v>
      </c>
      <c r="R81">
        <f t="shared" si="56"/>
        <v>48.8</v>
      </c>
      <c r="V81">
        <v>1</v>
      </c>
    </row>
    <row r="82" spans="1:23" x14ac:dyDescent="0.45">
      <c r="A82" t="s">
        <v>133</v>
      </c>
      <c r="B82" t="s">
        <v>112</v>
      </c>
      <c r="C82" t="s">
        <v>55</v>
      </c>
      <c r="D82" t="s">
        <v>17</v>
      </c>
      <c r="E82">
        <f t="shared" si="48"/>
        <v>65.7</v>
      </c>
      <c r="F82">
        <v>65.7</v>
      </c>
      <c r="G82">
        <v>60.8</v>
      </c>
      <c r="H82">
        <v>62</v>
      </c>
      <c r="I82">
        <f t="shared" si="49"/>
        <v>62</v>
      </c>
      <c r="J82">
        <v>65.7</v>
      </c>
      <c r="K82">
        <v>62.7</v>
      </c>
      <c r="L82">
        <f t="shared" si="50"/>
        <v>65.7</v>
      </c>
      <c r="M82">
        <f t="shared" si="51"/>
        <v>65.7</v>
      </c>
      <c r="N82">
        <f t="shared" si="52"/>
        <v>60.8</v>
      </c>
      <c r="O82">
        <f t="shared" si="53"/>
        <v>62</v>
      </c>
      <c r="P82">
        <f t="shared" si="54"/>
        <v>62</v>
      </c>
      <c r="Q82">
        <f t="shared" si="55"/>
        <v>65.7</v>
      </c>
      <c r="R82">
        <f t="shared" si="56"/>
        <v>62.7</v>
      </c>
      <c r="V82">
        <v>1</v>
      </c>
    </row>
    <row r="83" spans="1:23" x14ac:dyDescent="0.45">
      <c r="A83" t="s">
        <v>134</v>
      </c>
      <c r="B83" t="s">
        <v>112</v>
      </c>
      <c r="C83" t="s">
        <v>55</v>
      </c>
      <c r="D83" t="s">
        <v>17</v>
      </c>
      <c r="E83">
        <f t="shared" si="48"/>
        <v>32.25</v>
      </c>
      <c r="F83">
        <v>32.25</v>
      </c>
      <c r="G83">
        <v>35.799999999999997</v>
      </c>
      <c r="H83">
        <v>33.299999999999997</v>
      </c>
      <c r="I83">
        <f t="shared" si="49"/>
        <v>33.299999999999997</v>
      </c>
      <c r="J83">
        <v>34</v>
      </c>
      <c r="K83">
        <v>39.200000000000003</v>
      </c>
      <c r="L83">
        <f t="shared" si="50"/>
        <v>32.25</v>
      </c>
      <c r="M83">
        <f t="shared" si="51"/>
        <v>32.25</v>
      </c>
      <c r="N83">
        <f t="shared" si="52"/>
        <v>35.799999999999997</v>
      </c>
      <c r="O83">
        <f t="shared" si="53"/>
        <v>33.299999999999997</v>
      </c>
      <c r="P83">
        <f t="shared" si="54"/>
        <v>33.299999999999997</v>
      </c>
      <c r="Q83">
        <f t="shared" si="55"/>
        <v>34</v>
      </c>
      <c r="R83">
        <f t="shared" si="56"/>
        <v>39.200000000000003</v>
      </c>
      <c r="V83">
        <v>1</v>
      </c>
    </row>
    <row r="84" spans="1:23" x14ac:dyDescent="0.45">
      <c r="A84" t="s">
        <v>135</v>
      </c>
      <c r="B84" t="s">
        <v>112</v>
      </c>
      <c r="C84" t="s">
        <v>55</v>
      </c>
      <c r="D84" t="s">
        <v>17</v>
      </c>
      <c r="E84">
        <f t="shared" si="48"/>
        <v>44.31</v>
      </c>
      <c r="F84">
        <v>44.31</v>
      </c>
      <c r="G84">
        <v>45.9</v>
      </c>
      <c r="H84">
        <v>44.4</v>
      </c>
      <c r="I84">
        <f t="shared" si="49"/>
        <v>44.4</v>
      </c>
      <c r="J84">
        <v>43.9</v>
      </c>
      <c r="K84">
        <v>47.3</v>
      </c>
      <c r="L84">
        <f t="shared" si="50"/>
        <v>44.31</v>
      </c>
      <c r="M84">
        <f t="shared" si="51"/>
        <v>44.31</v>
      </c>
      <c r="N84">
        <f t="shared" si="52"/>
        <v>45.9</v>
      </c>
      <c r="O84">
        <f t="shared" si="53"/>
        <v>44.4</v>
      </c>
      <c r="P84">
        <f t="shared" si="54"/>
        <v>44.4</v>
      </c>
      <c r="Q84">
        <f t="shared" si="55"/>
        <v>43.9</v>
      </c>
      <c r="R84">
        <f t="shared" si="56"/>
        <v>47.3</v>
      </c>
      <c r="V84">
        <v>1</v>
      </c>
    </row>
    <row r="85" spans="1:23" x14ac:dyDescent="0.45">
      <c r="A85" t="s">
        <v>136</v>
      </c>
      <c r="B85" t="s">
        <v>112</v>
      </c>
      <c r="C85" t="s">
        <v>137</v>
      </c>
      <c r="D85" t="s">
        <v>17</v>
      </c>
      <c r="E85">
        <v>0</v>
      </c>
      <c r="F85">
        <v>0</v>
      </c>
      <c r="G85">
        <v>50</v>
      </c>
      <c r="H85">
        <v>1210</v>
      </c>
      <c r="I85">
        <v>1445</v>
      </c>
      <c r="J85">
        <v>1777.5</v>
      </c>
      <c r="K85">
        <v>1870</v>
      </c>
      <c r="L85" s="14">
        <f t="shared" ref="L85:R86" si="57">((E85-$T85)/($U85-$T85))*99+1</f>
        <v>1</v>
      </c>
      <c r="M85" s="14">
        <f t="shared" si="57"/>
        <v>1</v>
      </c>
      <c r="N85" s="14">
        <f t="shared" si="57"/>
        <v>3.6470588235294117</v>
      </c>
      <c r="O85" s="14">
        <f t="shared" si="57"/>
        <v>65.058823529411768</v>
      </c>
      <c r="P85" s="14">
        <f t="shared" si="57"/>
        <v>77.5</v>
      </c>
      <c r="Q85" s="14">
        <f t="shared" si="57"/>
        <v>95.102941176470594</v>
      </c>
      <c r="R85" s="14">
        <f t="shared" si="57"/>
        <v>100</v>
      </c>
      <c r="S85" t="s">
        <v>263</v>
      </c>
      <c r="T85">
        <f>MIN(E85:K85)</f>
        <v>0</v>
      </c>
      <c r="U85">
        <f>MAX(E85:K85)</f>
        <v>1870</v>
      </c>
      <c r="V85" s="9">
        <v>1</v>
      </c>
    </row>
    <row r="86" spans="1:23" x14ac:dyDescent="0.45">
      <c r="A86" t="s">
        <v>138</v>
      </c>
      <c r="B86" t="s">
        <v>112</v>
      </c>
      <c r="C86" t="s">
        <v>137</v>
      </c>
      <c r="D86" t="s">
        <v>17</v>
      </c>
      <c r="E86">
        <v>0</v>
      </c>
      <c r="F86">
        <v>0</v>
      </c>
      <c r="G86">
        <v>4485</v>
      </c>
      <c r="H86">
        <v>19723</v>
      </c>
      <c r="I86">
        <v>32286</v>
      </c>
      <c r="J86">
        <v>65694</v>
      </c>
      <c r="K86">
        <v>64047</v>
      </c>
      <c r="L86" s="14">
        <f t="shared" si="57"/>
        <v>1</v>
      </c>
      <c r="M86" s="14">
        <f t="shared" si="57"/>
        <v>1</v>
      </c>
      <c r="N86" s="14">
        <f t="shared" si="57"/>
        <v>7.7588364234176632</v>
      </c>
      <c r="O86" s="14">
        <f t="shared" si="57"/>
        <v>30.722303406703809</v>
      </c>
      <c r="P86" s="14">
        <f t="shared" si="57"/>
        <v>49.654580326970496</v>
      </c>
      <c r="Q86" s="14">
        <f t="shared" si="57"/>
        <v>100</v>
      </c>
      <c r="R86" s="14">
        <f t="shared" si="57"/>
        <v>97.517992510731574</v>
      </c>
      <c r="S86" t="s">
        <v>263</v>
      </c>
      <c r="T86">
        <f>MIN(E86:K86)</f>
        <v>0</v>
      </c>
      <c r="U86">
        <f>MAX(E86:K86)</f>
        <v>65694</v>
      </c>
      <c r="V86" s="9">
        <v>1</v>
      </c>
    </row>
    <row r="87" spans="1:23" x14ac:dyDescent="0.45">
      <c r="A87" t="s">
        <v>139</v>
      </c>
      <c r="B87" t="s">
        <v>112</v>
      </c>
      <c r="C87" s="11" t="s">
        <v>140</v>
      </c>
      <c r="D87" t="s">
        <v>17</v>
      </c>
      <c r="E87" s="2">
        <f>G87</f>
        <v>1.21</v>
      </c>
      <c r="F87" s="2">
        <f>G87</f>
        <v>1.21</v>
      </c>
      <c r="G87">
        <v>1.21</v>
      </c>
      <c r="H87">
        <v>1.28</v>
      </c>
      <c r="I87">
        <v>1.23</v>
      </c>
      <c r="J87">
        <v>1.22</v>
      </c>
      <c r="K87" s="2">
        <f>J87</f>
        <v>1.22</v>
      </c>
      <c r="L87" s="14">
        <f t="shared" ref="L87:R87" si="58">IF(E87&lt;$T87,1,IF(E87&gt;$U87,100,(((((E87-$T87)/($U87-$T87))*99)+1))))</f>
        <v>49.688524590163922</v>
      </c>
      <c r="M87" s="14">
        <f t="shared" si="58"/>
        <v>49.688524590163922</v>
      </c>
      <c r="N87" s="14">
        <f t="shared" si="58"/>
        <v>49.688524590163922</v>
      </c>
      <c r="O87" s="14">
        <f t="shared" si="58"/>
        <v>55.368852459016388</v>
      </c>
      <c r="P87" s="14">
        <f t="shared" si="58"/>
        <v>51.311475409836056</v>
      </c>
      <c r="Q87" s="14">
        <f t="shared" si="58"/>
        <v>50.499999999999986</v>
      </c>
      <c r="R87" s="14">
        <f t="shared" si="58"/>
        <v>50.499999999999986</v>
      </c>
      <c r="S87">
        <f>MEDIAN(E87:K87)</f>
        <v>1.22</v>
      </c>
      <c r="T87">
        <f>S87*0.5</f>
        <v>0.61</v>
      </c>
      <c r="U87">
        <f>S87*1.5</f>
        <v>1.83</v>
      </c>
      <c r="V87">
        <v>1</v>
      </c>
    </row>
    <row r="88" spans="1:23" x14ac:dyDescent="0.45">
      <c r="A88" t="s">
        <v>141</v>
      </c>
      <c r="B88" t="s">
        <v>112</v>
      </c>
      <c r="C88" s="8" t="s">
        <v>288</v>
      </c>
      <c r="D88" t="s">
        <v>10</v>
      </c>
      <c r="E88">
        <v>6.3</v>
      </c>
      <c r="F88">
        <v>5.7</v>
      </c>
      <c r="G88">
        <v>6.6</v>
      </c>
      <c r="H88">
        <v>5.5</v>
      </c>
      <c r="I88">
        <v>5.5</v>
      </c>
      <c r="J88">
        <v>3.9</v>
      </c>
      <c r="K88">
        <v>4.9000000000000004</v>
      </c>
      <c r="L88" s="14">
        <f t="shared" ref="L88:R88" si="59">101-IF(E88&lt;$T88,1,IF(E88&gt;$U88,100,(((((E88-$T88)/($U88-$T88))*99)+1))))</f>
        <v>36.100000000000009</v>
      </c>
      <c r="M88" s="14">
        <f t="shared" si="59"/>
        <v>46.9</v>
      </c>
      <c r="N88" s="14">
        <f t="shared" si="59"/>
        <v>30.700000000000003</v>
      </c>
      <c r="O88" s="14">
        <f t="shared" si="59"/>
        <v>50.5</v>
      </c>
      <c r="P88" s="14">
        <f t="shared" si="59"/>
        <v>50.5</v>
      </c>
      <c r="Q88" s="14">
        <f t="shared" si="59"/>
        <v>79.3</v>
      </c>
      <c r="R88" s="14">
        <f t="shared" si="59"/>
        <v>61.29999999999999</v>
      </c>
      <c r="S88">
        <f>MEDIAN(E88:K88)</f>
        <v>5.5</v>
      </c>
      <c r="T88">
        <f>S88*0.5</f>
        <v>2.75</v>
      </c>
      <c r="U88">
        <f>S88*1.5</f>
        <v>8.25</v>
      </c>
      <c r="V88">
        <v>0.66</v>
      </c>
    </row>
    <row r="89" spans="1:23" x14ac:dyDescent="0.45">
      <c r="A89" t="s">
        <v>143</v>
      </c>
      <c r="B89" t="s">
        <v>112</v>
      </c>
      <c r="C89" s="8" t="s">
        <v>100</v>
      </c>
      <c r="D89" t="s">
        <v>17</v>
      </c>
      <c r="E89">
        <f>K89/1.358</f>
        <v>129.38144329896906</v>
      </c>
      <c r="F89">
        <f>E89-(($E89-$I89)/4)</f>
        <v>137.8585731805465</v>
      </c>
      <c r="G89">
        <f>F89-(($E89-$I89)/4)</f>
        <v>146.33570306212394</v>
      </c>
      <c r="H89">
        <f>G89-(($E89-$I89)/4)</f>
        <v>154.81283294370138</v>
      </c>
      <c r="I89">
        <f>K89/1.076</f>
        <v>163.28996282527879</v>
      </c>
      <c r="J89" s="18">
        <f>K89-((K89-I89)/2)</f>
        <v>169.49498141263939</v>
      </c>
      <c r="K89">
        <v>175.7</v>
      </c>
      <c r="L89" s="14">
        <f t="shared" ref="L89:R89" si="60">IF(E89&lt;$T89,1,IF(E89&gt;$U89,100,(((((E89-$T89)/($U89-$T89))*99)+1))))</f>
        <v>86.859536082474207</v>
      </c>
      <c r="M89" s="14">
        <f t="shared" si="60"/>
        <v>97.349984310926303</v>
      </c>
      <c r="N89" s="14">
        <f t="shared" si="60"/>
        <v>100</v>
      </c>
      <c r="O89" s="14">
        <f t="shared" si="60"/>
        <v>100</v>
      </c>
      <c r="P89" s="14">
        <f t="shared" si="60"/>
        <v>100</v>
      </c>
      <c r="Q89" s="14">
        <f t="shared" si="60"/>
        <v>100</v>
      </c>
      <c r="R89" s="14">
        <f t="shared" si="60"/>
        <v>100</v>
      </c>
      <c r="S89">
        <f>MEDIAN(E89:K89)</f>
        <v>154.81283294370138</v>
      </c>
      <c r="T89">
        <v>60</v>
      </c>
      <c r="U89">
        <v>140</v>
      </c>
      <c r="V89">
        <v>0.66</v>
      </c>
    </row>
    <row r="90" spans="1:23" x14ac:dyDescent="0.45">
      <c r="A90" t="s">
        <v>347</v>
      </c>
      <c r="B90" t="s">
        <v>112</v>
      </c>
      <c r="C90" t="s">
        <v>137</v>
      </c>
      <c r="D90" t="s">
        <v>17</v>
      </c>
      <c r="E90">
        <f>1079976131374/E48</f>
        <v>6.8149596679501587E-2</v>
      </c>
      <c r="F90">
        <f>1201467122735/F48</f>
        <v>6.6586907394114492E-2</v>
      </c>
      <c r="G90">
        <f>1253725382920/G48</f>
        <v>6.9187668284268866E-2</v>
      </c>
      <c r="H90">
        <f>1290945400459/H48</f>
        <v>6.2902311670455902E-2</v>
      </c>
      <c r="I90">
        <f>1368233383468/I48</f>
        <v>5.6071645678957706E-2</v>
      </c>
      <c r="J90">
        <f>1629944579343/J48</f>
        <v>5.6632401949145081E-2</v>
      </c>
      <c r="K90">
        <f>1862357680113/K48</f>
        <v>5.9914436974832182E-2</v>
      </c>
      <c r="L90" s="14">
        <f t="shared" ref="L90" si="61">IF(E90&lt;$T90,1,IF(E90&gt;$U90,100,(((((E90-$T90)/($U90-$T90))*99)+1))))</f>
        <v>36.936201425413138</v>
      </c>
      <c r="M90" s="14">
        <f t="shared" ref="M90" si="62">IF(F90&lt;$T90,1,IF(F90&gt;$U90,100,(((((F90-$T90)/($U90-$T90))*99)+1))))</f>
        <v>33.84207664034669</v>
      </c>
      <c r="N90" s="14">
        <f t="shared" ref="N90" si="63">IF(G90&lt;$T90,1,IF(G90&gt;$U90,100,(((((G90-$T90)/($U90-$T90))*99)+1))))</f>
        <v>38.991583202852347</v>
      </c>
      <c r="O90" s="14">
        <f t="shared" ref="O90" si="64">IF(H90&lt;$T90,1,IF(H90&gt;$U90,100,(((((H90-$T90)/($U90-$T90))*99)+1))))</f>
        <v>26.546577107502678</v>
      </c>
      <c r="P90" s="14">
        <f t="shared" ref="P90" si="65">IF(I90&lt;$T90,1,IF(I90&gt;$U90,100,(((((I90-$T90)/($U90-$T90))*99)+1))))</f>
        <v>13.021858444336251</v>
      </c>
      <c r="Q90" s="14">
        <f t="shared" ref="Q90" si="66">IF(J90&lt;$T90,1,IF(J90&gt;$U90,100,(((((J90-$T90)/($U90-$T90))*99)+1))))</f>
        <v>14.132155859307254</v>
      </c>
      <c r="R90" s="14">
        <f t="shared" ref="R90" si="67">IF(K90&lt;$T90,1,IF(K90&gt;$U90,100,(((((K90-$T90)/($U90-$T90))*99)+1))))</f>
        <v>20.630585210167716</v>
      </c>
      <c r="S90">
        <f>MEDIAN(E90:K90)</f>
        <v>6.2902311670455902E-2</v>
      </c>
      <c r="T90">
        <v>0.05</v>
      </c>
      <c r="U90">
        <v>0.1</v>
      </c>
      <c r="V90">
        <v>1</v>
      </c>
    </row>
    <row r="91" spans="1:23" x14ac:dyDescent="0.45">
      <c r="A91" t="s">
        <v>346</v>
      </c>
      <c r="B91" t="s">
        <v>112</v>
      </c>
      <c r="C91" s="11" t="s">
        <v>115</v>
      </c>
      <c r="D91" t="s">
        <v>10</v>
      </c>
      <c r="E91" s="30">
        <f>247475.4/670817.4</f>
        <v>0.36891619090381372</v>
      </c>
      <c r="F91" s="30">
        <f>213497.4/680416.6</f>
        <v>0.31377453166192593</v>
      </c>
      <c r="G91" s="30">
        <f>213615.3/648859</f>
        <v>0.32921682522705237</v>
      </c>
      <c r="H91" s="30">
        <f>200692.5/639160.6</f>
        <v>0.31399385381389278</v>
      </c>
      <c r="I91" s="30">
        <f>201541.7/615115.1</f>
        <v>0.32764876037021368</v>
      </c>
      <c r="J91" s="30">
        <f>168619.1/605996.9</f>
        <v>0.27825076332898735</v>
      </c>
      <c r="K91" s="30">
        <f>174408.4/590244</f>
        <v>0.29548525694458561</v>
      </c>
      <c r="L91" s="14">
        <f t="shared" ref="L91:R92" si="68">101-IF(E91&lt;$T91,1,IF(E91&gt;$U91,100,(((((E91-$T91)/($U91-$T91))*99)+1))))</f>
        <v>52.909188402089768</v>
      </c>
      <c r="M91" s="14">
        <f t="shared" si="68"/>
        <v>74.74528546187733</v>
      </c>
      <c r="N91" s="14">
        <f t="shared" si="68"/>
        <v>68.63013721008727</v>
      </c>
      <c r="O91" s="14">
        <f t="shared" si="68"/>
        <v>74.658433889698458</v>
      </c>
      <c r="P91" s="14">
        <f t="shared" si="68"/>
        <v>69.251090893395386</v>
      </c>
      <c r="Q91" s="14">
        <f t="shared" si="68"/>
        <v>88.812697721721008</v>
      </c>
      <c r="R91" s="14">
        <f t="shared" si="68"/>
        <v>81.987838249944105</v>
      </c>
      <c r="S91">
        <f t="shared" ref="S91:S100" si="69">MEDIAN(E91:K91)</f>
        <v>0.31399385381389278</v>
      </c>
      <c r="T91">
        <v>0.25</v>
      </c>
      <c r="U91">
        <v>0.5</v>
      </c>
      <c r="V91">
        <v>1</v>
      </c>
      <c r="W91" t="s">
        <v>112</v>
      </c>
    </row>
    <row r="92" spans="1:23" x14ac:dyDescent="0.45">
      <c r="A92" t="s">
        <v>172</v>
      </c>
      <c r="B92" t="s">
        <v>112</v>
      </c>
      <c r="C92" s="11" t="s">
        <v>173</v>
      </c>
      <c r="D92" t="s">
        <v>10</v>
      </c>
      <c r="E92">
        <f>670817.4/Lakosságszám!C3</f>
        <v>389.399302721661</v>
      </c>
      <c r="F92">
        <f>680416.6/Lakosságszám!D3</f>
        <v>395.64786338503262</v>
      </c>
      <c r="G92">
        <f>648859/Lakosságszám!E3</f>
        <v>380.82535568542033</v>
      </c>
      <c r="H92">
        <f>639160.6/Lakosságszám!F3</f>
        <v>380.11945478755831</v>
      </c>
      <c r="I92">
        <f>615115.1/Lakosságszám!G3</f>
        <v>367.95276490184079</v>
      </c>
      <c r="J92">
        <f>605996.9/Lakosságszám!H3</f>
        <v>361.0104890168252</v>
      </c>
      <c r="K92">
        <f>590244/Lakosságszám!I3</f>
        <v>350.14459739635703</v>
      </c>
      <c r="L92" s="14">
        <f t="shared" si="68"/>
        <v>48.083115165758578</v>
      </c>
      <c r="M92" s="14">
        <f t="shared" si="68"/>
        <v>46.455712258902572</v>
      </c>
      <c r="N92" s="14">
        <f t="shared" si="68"/>
        <v>50.316152033240712</v>
      </c>
      <c r="O92" s="14">
        <f t="shared" si="68"/>
        <v>50.499999999999986</v>
      </c>
      <c r="P92" s="14">
        <f t="shared" si="68"/>
        <v>53.668746780822374</v>
      </c>
      <c r="Q92" s="14">
        <f t="shared" si="68"/>
        <v>55.476823962772073</v>
      </c>
      <c r="R92" s="14">
        <f t="shared" si="68"/>
        <v>58.306785062836134</v>
      </c>
      <c r="S92">
        <f t="shared" si="69"/>
        <v>380.11945478755831</v>
      </c>
      <c r="T92">
        <f>S92*0.5</f>
        <v>190.05972739377916</v>
      </c>
      <c r="U92">
        <f>S92*1.5</f>
        <v>570.17918218133741</v>
      </c>
      <c r="V92">
        <v>1</v>
      </c>
      <c r="W92" t="s">
        <v>112</v>
      </c>
    </row>
    <row r="93" spans="1:23" x14ac:dyDescent="0.45">
      <c r="A93" t="s">
        <v>148</v>
      </c>
      <c r="B93" t="s">
        <v>112</v>
      </c>
      <c r="C93" t="s">
        <v>149</v>
      </c>
      <c r="D93" t="s">
        <v>17</v>
      </c>
      <c r="E93">
        <v>69.289034299999997</v>
      </c>
      <c r="F93">
        <v>71.844111799999993</v>
      </c>
      <c r="G93">
        <v>68.63349869999999</v>
      </c>
      <c r="H93">
        <v>68.499965000000003</v>
      </c>
      <c r="I93">
        <v>73.390400499999998</v>
      </c>
      <c r="J93">
        <v>78.606872600000003</v>
      </c>
      <c r="K93" s="2">
        <f>J93*(1+AVERAGE(1-E93/F93,1-F93/G93,1-G93/H93,1-H93/I93,1-I93/J93))</f>
        <v>80.490813981082638</v>
      </c>
      <c r="L93" s="14">
        <f t="shared" ref="L93:R100" si="70">IF(E93&lt;$T93,1,IF(E93&gt;$U93,100,(((((E93-$T93)/($U93-$T93))*99)+1))))</f>
        <v>46.979145386275079</v>
      </c>
      <c r="M93" s="14">
        <f t="shared" si="70"/>
        <v>50.500000000000014</v>
      </c>
      <c r="N93" s="14">
        <f t="shared" si="70"/>
        <v>46.075828151584169</v>
      </c>
      <c r="O93" s="14">
        <f t="shared" si="70"/>
        <v>45.891820917465942</v>
      </c>
      <c r="P93" s="14">
        <f t="shared" si="70"/>
        <v>52.630760301222082</v>
      </c>
      <c r="Q93" s="14">
        <f t="shared" si="70"/>
        <v>59.818972737303731</v>
      </c>
      <c r="R93" s="14">
        <f t="shared" si="70"/>
        <v>62.415012858815565</v>
      </c>
      <c r="S93">
        <f t="shared" si="69"/>
        <v>71.844111799999993</v>
      </c>
      <c r="T93">
        <f>S93*0.5</f>
        <v>35.922055899999997</v>
      </c>
      <c r="U93">
        <f>S93*1.5</f>
        <v>107.76616769999998</v>
      </c>
      <c r="V93">
        <v>1</v>
      </c>
    </row>
    <row r="94" spans="1:23" x14ac:dyDescent="0.45">
      <c r="A94" t="s">
        <v>150</v>
      </c>
      <c r="B94" t="s">
        <v>112</v>
      </c>
      <c r="C94" t="s">
        <v>149</v>
      </c>
      <c r="D94" t="s">
        <v>17</v>
      </c>
      <c r="E94">
        <v>102.4681988</v>
      </c>
      <c r="F94">
        <v>105.10652519999999</v>
      </c>
      <c r="G94">
        <v>97.988178980000001</v>
      </c>
      <c r="H94">
        <v>101.16794520000001</v>
      </c>
      <c r="I94">
        <v>134.18836959999999</v>
      </c>
      <c r="J94">
        <v>121.652963</v>
      </c>
      <c r="K94" s="2">
        <f>J94*(1+AVERAGE(1-E94/F94,1-F94/G94,1-G94/H94,1-H94/I94,1-I94/J94))</f>
        <v>124.74099908338489</v>
      </c>
      <c r="L94" s="14">
        <f t="shared" si="70"/>
        <v>48.014956249357581</v>
      </c>
      <c r="M94" s="14">
        <f t="shared" si="70"/>
        <v>50.499999999999993</v>
      </c>
      <c r="N94" s="14">
        <f t="shared" si="70"/>
        <v>43.795218594287618</v>
      </c>
      <c r="O94" s="14">
        <f t="shared" si="70"/>
        <v>46.79024535576599</v>
      </c>
      <c r="P94" s="14">
        <f t="shared" si="70"/>
        <v>77.892234593632992</v>
      </c>
      <c r="Q94" s="14">
        <f t="shared" si="70"/>
        <v>66.085115568067508</v>
      </c>
      <c r="R94" s="14">
        <f t="shared" si="70"/>
        <v>68.993741570814521</v>
      </c>
      <c r="S94">
        <f t="shared" si="69"/>
        <v>105.10652519999999</v>
      </c>
      <c r="T94">
        <f>S94*0.5</f>
        <v>52.553262599999996</v>
      </c>
      <c r="U94">
        <f>S94*1.5</f>
        <v>157.6597878</v>
      </c>
      <c r="V94">
        <v>1</v>
      </c>
    </row>
    <row r="95" spans="1:23" x14ac:dyDescent="0.45">
      <c r="A95" t="s">
        <v>289</v>
      </c>
      <c r="B95" t="s">
        <v>152</v>
      </c>
      <c r="C95" s="8" t="s">
        <v>284</v>
      </c>
      <c r="D95" t="s">
        <v>17</v>
      </c>
      <c r="E95">
        <f>295600.4/670817.4</f>
        <v>0.44065702529481199</v>
      </c>
      <c r="F95">
        <f>288919.1/680416.6</f>
        <v>0.42462088667442854</v>
      </c>
      <c r="G95">
        <f>320723.4/648859</f>
        <v>0.49428828142940151</v>
      </c>
      <c r="H95">
        <f>322238.5/639160.6</f>
        <v>0.50415889214698151</v>
      </c>
      <c r="I95">
        <f>314134.9/615115.1</f>
        <v>0.51069287682906828</v>
      </c>
      <c r="J95">
        <f>333797.3/605996.9</f>
        <v>0.55082344480640077</v>
      </c>
      <c r="K95">
        <f>315495.6/590244</f>
        <v>0.53451725049301646</v>
      </c>
      <c r="L95" s="14">
        <f t="shared" si="70"/>
        <v>38.030350220358756</v>
      </c>
      <c r="M95" s="14">
        <f t="shared" si="70"/>
        <v>34.881387168934246</v>
      </c>
      <c r="N95" s="14">
        <f t="shared" si="70"/>
        <v>48.56174109737703</v>
      </c>
      <c r="O95" s="14">
        <f t="shared" si="70"/>
        <v>50.5</v>
      </c>
      <c r="P95" s="14">
        <f t="shared" si="70"/>
        <v>51.783056777540693</v>
      </c>
      <c r="Q95" s="14">
        <f t="shared" si="70"/>
        <v>59.663362553438134</v>
      </c>
      <c r="R95" s="14">
        <f t="shared" si="70"/>
        <v>56.461369566365299</v>
      </c>
      <c r="S95">
        <f t="shared" si="69"/>
        <v>0.50415889214698151</v>
      </c>
      <c r="T95">
        <f>S95*0.5</f>
        <v>0.25207944607349075</v>
      </c>
      <c r="U95">
        <f>S95*1.5</f>
        <v>0.75623833822047226</v>
      </c>
      <c r="V95">
        <v>0.66</v>
      </c>
    </row>
    <row r="96" spans="1:23" x14ac:dyDescent="0.45">
      <c r="A96" t="s">
        <v>290</v>
      </c>
      <c r="B96" t="s">
        <v>152</v>
      </c>
      <c r="C96" s="8" t="s">
        <v>147</v>
      </c>
      <c r="D96" t="s">
        <v>17</v>
      </c>
      <c r="E96">
        <f>93086.5/670817.4</f>
        <v>0.13876578037480841</v>
      </c>
      <c r="F96">
        <f>96101.9/680416.6</f>
        <v>0.14123979338540535</v>
      </c>
      <c r="G96">
        <f>100050.7/648859</f>
        <v>0.15419482506985338</v>
      </c>
      <c r="H96">
        <f>104556.8/639160.6</f>
        <v>0.16358455136314723</v>
      </c>
      <c r="I96">
        <f>106271.3/615115.1</f>
        <v>0.17276652776041429</v>
      </c>
      <c r="J96">
        <f>99388/605996.9</f>
        <v>0.16400743964201797</v>
      </c>
      <c r="K96">
        <f>102488.5/590244</f>
        <v>0.17363751262189875</v>
      </c>
      <c r="L96" s="14">
        <f t="shared" si="70"/>
        <v>35.479887725516136</v>
      </c>
      <c r="M96" s="14">
        <f t="shared" si="70"/>
        <v>36.977139672647581</v>
      </c>
      <c r="N96" s="14">
        <f t="shared" si="70"/>
        <v>44.817416312910389</v>
      </c>
      <c r="O96" s="14">
        <f t="shared" si="70"/>
        <v>50.499999999999986</v>
      </c>
      <c r="P96" s="14">
        <f t="shared" si="70"/>
        <v>56.056855190509289</v>
      </c>
      <c r="Q96" s="14">
        <f t="shared" si="70"/>
        <v>50.755928443482802</v>
      </c>
      <c r="R96" s="14">
        <f t="shared" si="70"/>
        <v>56.583967931709047</v>
      </c>
      <c r="S96">
        <f t="shared" si="69"/>
        <v>0.16358455136314723</v>
      </c>
      <c r="T96">
        <f>S96*0.5</f>
        <v>8.1792275681573615E-2</v>
      </c>
      <c r="U96">
        <f>S96*1.5</f>
        <v>0.24537682704472086</v>
      </c>
      <c r="V96">
        <v>1</v>
      </c>
    </row>
    <row r="97" spans="1:23" x14ac:dyDescent="0.45">
      <c r="A97" t="s">
        <v>291</v>
      </c>
      <c r="B97" t="s">
        <v>152</v>
      </c>
      <c r="C97" t="s">
        <v>16</v>
      </c>
      <c r="D97" t="s">
        <v>17</v>
      </c>
      <c r="E97" s="24">
        <v>38271</v>
      </c>
      <c r="F97" s="24">
        <v>38271</v>
      </c>
      <c r="G97" s="24">
        <v>38271</v>
      </c>
      <c r="H97" s="24">
        <v>38271</v>
      </c>
      <c r="I97" s="24">
        <v>38271</v>
      </c>
      <c r="J97" s="24">
        <v>38271</v>
      </c>
      <c r="K97" s="23">
        <v>38271</v>
      </c>
      <c r="L97" s="14">
        <f t="shared" si="70"/>
        <v>50.5</v>
      </c>
      <c r="M97" s="14">
        <f t="shared" si="70"/>
        <v>50.5</v>
      </c>
      <c r="N97" s="14">
        <f t="shared" si="70"/>
        <v>50.5</v>
      </c>
      <c r="O97" s="14">
        <f t="shared" si="70"/>
        <v>50.5</v>
      </c>
      <c r="P97" s="14">
        <f t="shared" si="70"/>
        <v>50.5</v>
      </c>
      <c r="Q97" s="14">
        <f t="shared" si="70"/>
        <v>50.5</v>
      </c>
      <c r="R97" s="14">
        <f t="shared" si="70"/>
        <v>50.5</v>
      </c>
      <c r="S97">
        <f t="shared" si="69"/>
        <v>38271</v>
      </c>
      <c r="T97">
        <f>S97*0.8</f>
        <v>30616.800000000003</v>
      </c>
      <c r="U97">
        <f>S97*1.2</f>
        <v>45925.2</v>
      </c>
      <c r="V97" s="9">
        <v>0.66</v>
      </c>
    </row>
    <row r="98" spans="1:23" x14ac:dyDescent="0.45">
      <c r="A98" t="s">
        <v>153</v>
      </c>
      <c r="B98" t="s">
        <v>152</v>
      </c>
      <c r="C98" t="s">
        <v>16</v>
      </c>
      <c r="D98" t="s">
        <v>17</v>
      </c>
      <c r="E98">
        <v>163626.70000000001</v>
      </c>
      <c r="F98">
        <v>160914.9</v>
      </c>
      <c r="G98">
        <v>1502807</v>
      </c>
      <c r="H98">
        <v>137532.70000000001</v>
      </c>
      <c r="I98">
        <v>134286.70000000001</v>
      </c>
      <c r="J98">
        <v>148434.1</v>
      </c>
      <c r="K98">
        <v>144658.4</v>
      </c>
      <c r="L98" s="14">
        <f t="shared" si="70"/>
        <v>60.632896686138821</v>
      </c>
      <c r="M98" s="14">
        <f t="shared" si="70"/>
        <v>58.824227384408282</v>
      </c>
      <c r="N98" s="14">
        <f t="shared" si="70"/>
        <v>100</v>
      </c>
      <c r="O98" s="14">
        <f t="shared" si="70"/>
        <v>43.22917341769849</v>
      </c>
      <c r="P98" s="14">
        <f t="shared" si="70"/>
        <v>41.064212670808125</v>
      </c>
      <c r="Q98" s="14">
        <f t="shared" si="70"/>
        <v>50.499999999999986</v>
      </c>
      <c r="R98" s="14">
        <f t="shared" si="70"/>
        <v>47.98174913985396</v>
      </c>
      <c r="S98">
        <f t="shared" si="69"/>
        <v>148434.1</v>
      </c>
      <c r="T98">
        <f>S98*0.5</f>
        <v>74217.05</v>
      </c>
      <c r="U98">
        <f>S98*1.5</f>
        <v>222651.15000000002</v>
      </c>
      <c r="V98">
        <v>0.66</v>
      </c>
    </row>
    <row r="99" spans="1:23" x14ac:dyDescent="0.45">
      <c r="A99" t="s">
        <v>154</v>
      </c>
      <c r="B99" t="s">
        <v>152</v>
      </c>
      <c r="C99" t="s">
        <v>16</v>
      </c>
      <c r="D99" t="s">
        <v>17</v>
      </c>
      <c r="E99">
        <v>4550.3</v>
      </c>
      <c r="F99">
        <v>4546</v>
      </c>
      <c r="G99">
        <v>4545.1000000000004</v>
      </c>
      <c r="H99">
        <v>4548.7</v>
      </c>
      <c r="I99">
        <v>4550.1000000000004</v>
      </c>
      <c r="J99">
        <v>4554.2</v>
      </c>
      <c r="K99">
        <v>4556.6000000000004</v>
      </c>
      <c r="L99" s="14">
        <f t="shared" si="70"/>
        <v>50.504351552713125</v>
      </c>
      <c r="M99" s="14">
        <f t="shared" si="70"/>
        <v>50.410793169380881</v>
      </c>
      <c r="N99" s="14">
        <f t="shared" si="70"/>
        <v>50.391211182171823</v>
      </c>
      <c r="O99" s="14">
        <f t="shared" si="70"/>
        <v>50.469539131008098</v>
      </c>
      <c r="P99" s="14">
        <f t="shared" si="70"/>
        <v>50.5</v>
      </c>
      <c r="Q99" s="14">
        <f t="shared" si="70"/>
        <v>50.589206830619091</v>
      </c>
      <c r="R99" s="14">
        <f t="shared" si="70"/>
        <v>50.641425463176638</v>
      </c>
      <c r="S99">
        <f t="shared" si="69"/>
        <v>4550.1000000000004</v>
      </c>
      <c r="T99">
        <f>S99*0.5</f>
        <v>2275.0500000000002</v>
      </c>
      <c r="U99">
        <f>S99*1.5</f>
        <v>6825.1500000000005</v>
      </c>
      <c r="V99">
        <v>0.66</v>
      </c>
    </row>
    <row r="100" spans="1:23" x14ac:dyDescent="0.45">
      <c r="A100" t="s">
        <v>155</v>
      </c>
      <c r="B100" t="s">
        <v>152</v>
      </c>
      <c r="C100" t="s">
        <v>16</v>
      </c>
      <c r="D100" t="s">
        <v>17</v>
      </c>
      <c r="E100">
        <v>5721</v>
      </c>
      <c r="F100">
        <v>5703</v>
      </c>
      <c r="G100">
        <v>5658</v>
      </c>
      <c r="H100">
        <v>5551</v>
      </c>
      <c r="I100">
        <v>5551</v>
      </c>
      <c r="J100">
        <v>5551</v>
      </c>
      <c r="K100">
        <v>5552</v>
      </c>
      <c r="L100" s="14">
        <f t="shared" si="70"/>
        <v>53.513508645533143</v>
      </c>
      <c r="M100" s="14">
        <f t="shared" si="70"/>
        <v>53.192543227665702</v>
      </c>
      <c r="N100" s="14">
        <f t="shared" si="70"/>
        <v>52.390129682997113</v>
      </c>
      <c r="O100" s="14">
        <f t="shared" si="70"/>
        <v>50.482168587896254</v>
      </c>
      <c r="P100" s="14">
        <f t="shared" si="70"/>
        <v>50.482168587896254</v>
      </c>
      <c r="Q100" s="14">
        <f t="shared" si="70"/>
        <v>50.482168587896254</v>
      </c>
      <c r="R100" s="14">
        <f t="shared" si="70"/>
        <v>50.5</v>
      </c>
      <c r="S100">
        <f t="shared" si="69"/>
        <v>5552</v>
      </c>
      <c r="T100">
        <f>S100*0.5</f>
        <v>2776</v>
      </c>
      <c r="U100">
        <f>S100*1.5</f>
        <v>8328</v>
      </c>
      <c r="V100">
        <v>0.66</v>
      </c>
    </row>
    <row r="101" spans="1:23" x14ac:dyDescent="0.45">
      <c r="A101" t="s">
        <v>292</v>
      </c>
      <c r="B101" t="s">
        <v>152</v>
      </c>
      <c r="C101" t="s">
        <v>16</v>
      </c>
      <c r="D101" t="s">
        <v>17</v>
      </c>
      <c r="E101">
        <v>100</v>
      </c>
      <c r="F101">
        <v>100</v>
      </c>
      <c r="G101">
        <v>100</v>
      </c>
      <c r="H101">
        <v>100</v>
      </c>
      <c r="I101">
        <v>100</v>
      </c>
      <c r="J101">
        <v>100</v>
      </c>
      <c r="K101">
        <v>100</v>
      </c>
      <c r="L101" s="14">
        <f t="shared" ref="L101:R101" si="71">E101</f>
        <v>100</v>
      </c>
      <c r="M101" s="14">
        <f t="shared" si="71"/>
        <v>100</v>
      </c>
      <c r="N101" s="14">
        <f t="shared" si="71"/>
        <v>100</v>
      </c>
      <c r="O101" s="14">
        <f t="shared" si="71"/>
        <v>100</v>
      </c>
      <c r="P101" s="14">
        <f t="shared" si="71"/>
        <v>100</v>
      </c>
      <c r="Q101" s="14">
        <f t="shared" si="71"/>
        <v>100</v>
      </c>
      <c r="R101" s="14">
        <f t="shared" si="71"/>
        <v>100</v>
      </c>
      <c r="V101">
        <v>0.66</v>
      </c>
    </row>
    <row r="102" spans="1:23" x14ac:dyDescent="0.45">
      <c r="A102" t="s">
        <v>293</v>
      </c>
      <c r="B102" t="s">
        <v>152</v>
      </c>
      <c r="C102" s="16" t="s">
        <v>294</v>
      </c>
      <c r="D102" t="s">
        <v>10</v>
      </c>
      <c r="E102">
        <v>31.7</v>
      </c>
      <c r="F102">
        <v>30.1</v>
      </c>
      <c r="G102">
        <v>26</v>
      </c>
      <c r="H102">
        <v>26.7</v>
      </c>
      <c r="I102">
        <v>25.3</v>
      </c>
      <c r="J102">
        <v>23.3</v>
      </c>
      <c r="K102">
        <f>AVERAGE(19.1,17.3,22.5,20.1,22.1,26,19.4,13,32.3,28.5)</f>
        <v>22.03</v>
      </c>
      <c r="L102" s="14">
        <f t="shared" ref="L102:R103" si="72">101-IF(E102&lt;$T102,1,IF(E102&gt;$U102,100,(((((E102-$T102)/($U102-$T102))*99)+1))))</f>
        <v>42.085000000000001</v>
      </c>
      <c r="M102" s="14">
        <f t="shared" si="72"/>
        <v>50.004999999999988</v>
      </c>
      <c r="N102" s="14">
        <f t="shared" si="72"/>
        <v>70.3</v>
      </c>
      <c r="O102" s="14">
        <f t="shared" si="72"/>
        <v>66.835000000000008</v>
      </c>
      <c r="P102" s="14">
        <f t="shared" si="72"/>
        <v>73.765000000000001</v>
      </c>
      <c r="Q102" s="14">
        <f t="shared" si="72"/>
        <v>83.664999999999992</v>
      </c>
      <c r="R102" s="14">
        <f t="shared" si="72"/>
        <v>89.951499999999996</v>
      </c>
      <c r="S102">
        <f>MEDIAN(E102:K102)</f>
        <v>26</v>
      </c>
      <c r="T102">
        <f>U102/2</f>
        <v>20</v>
      </c>
      <c r="U102">
        <v>40</v>
      </c>
      <c r="V102">
        <v>1</v>
      </c>
    </row>
    <row r="103" spans="1:23" x14ac:dyDescent="0.45">
      <c r="A103" t="s">
        <v>295</v>
      </c>
      <c r="B103" t="s">
        <v>152</v>
      </c>
      <c r="C103" s="16" t="s">
        <v>296</v>
      </c>
      <c r="D103" t="s">
        <v>10</v>
      </c>
      <c r="E103">
        <v>16.399999999999999</v>
      </c>
      <c r="F103">
        <v>14.408888900000001</v>
      </c>
      <c r="G103">
        <v>13.851111100000001</v>
      </c>
      <c r="H103">
        <v>14.0611111</v>
      </c>
      <c r="I103">
        <v>12.191111100000001</v>
      </c>
      <c r="J103">
        <v>11.7857143</v>
      </c>
      <c r="K103">
        <f>AVERAGE(12.3,15,12.7,7,12.8,15.3,10,11.5,11.1)</f>
        <v>11.966666666666665</v>
      </c>
      <c r="L103" s="14">
        <f t="shared" si="72"/>
        <v>43.570000000000007</v>
      </c>
      <c r="M103" s="14">
        <f t="shared" si="72"/>
        <v>53.425999944999994</v>
      </c>
      <c r="N103" s="14">
        <f t="shared" si="72"/>
        <v>56.187000054999999</v>
      </c>
      <c r="O103" s="14">
        <f t="shared" si="72"/>
        <v>55.147500055000002</v>
      </c>
      <c r="P103" s="14">
        <f t="shared" si="72"/>
        <v>64.404000054999997</v>
      </c>
      <c r="Q103" s="14">
        <f t="shared" si="72"/>
        <v>66.410714214999999</v>
      </c>
      <c r="R103" s="14">
        <f t="shared" si="72"/>
        <v>65.515000000000015</v>
      </c>
      <c r="S103">
        <f>MEDIAN(E103:K103)</f>
        <v>13.851111100000001</v>
      </c>
      <c r="T103">
        <v>5</v>
      </c>
      <c r="U103">
        <v>25</v>
      </c>
      <c r="V103">
        <v>1</v>
      </c>
    </row>
    <row r="104" spans="1:23" x14ac:dyDescent="0.45">
      <c r="A104" t="s">
        <v>163</v>
      </c>
      <c r="B104" t="s">
        <v>152</v>
      </c>
      <c r="C104" t="s">
        <v>55</v>
      </c>
      <c r="D104" t="s">
        <v>17</v>
      </c>
      <c r="E104">
        <f>F104</f>
        <v>52.3</v>
      </c>
      <c r="F104">
        <v>52.3</v>
      </c>
      <c r="G104">
        <v>54.9</v>
      </c>
      <c r="H104">
        <v>55.8</v>
      </c>
      <c r="I104">
        <f>H104</f>
        <v>55.8</v>
      </c>
      <c r="J104">
        <v>54.9</v>
      </c>
      <c r="K104">
        <v>57.6</v>
      </c>
      <c r="L104">
        <f t="shared" ref="L104:R105" si="73">E104</f>
        <v>52.3</v>
      </c>
      <c r="M104">
        <f t="shared" si="73"/>
        <v>52.3</v>
      </c>
      <c r="N104">
        <f t="shared" si="73"/>
        <v>54.9</v>
      </c>
      <c r="O104">
        <f t="shared" si="73"/>
        <v>55.8</v>
      </c>
      <c r="P104">
        <f t="shared" si="73"/>
        <v>55.8</v>
      </c>
      <c r="Q104">
        <f t="shared" si="73"/>
        <v>54.9</v>
      </c>
      <c r="R104">
        <f t="shared" si="73"/>
        <v>57.6</v>
      </c>
      <c r="V104">
        <v>0.66</v>
      </c>
    </row>
    <row r="105" spans="1:23" x14ac:dyDescent="0.45">
      <c r="A105" t="s">
        <v>164</v>
      </c>
      <c r="B105" t="s">
        <v>152</v>
      </c>
      <c r="C105" t="s">
        <v>55</v>
      </c>
      <c r="D105" t="s">
        <v>17</v>
      </c>
      <c r="E105">
        <f>F105</f>
        <v>54.74</v>
      </c>
      <c r="F105">
        <v>54.74</v>
      </c>
      <c r="G105">
        <v>50.3</v>
      </c>
      <c r="H105">
        <v>46.5</v>
      </c>
      <c r="I105">
        <f>H105</f>
        <v>46.5</v>
      </c>
      <c r="J105">
        <v>43.3</v>
      </c>
      <c r="K105">
        <v>47.4</v>
      </c>
      <c r="L105">
        <f t="shared" si="73"/>
        <v>54.74</v>
      </c>
      <c r="M105">
        <f t="shared" si="73"/>
        <v>54.74</v>
      </c>
      <c r="N105">
        <f t="shared" si="73"/>
        <v>50.3</v>
      </c>
      <c r="O105">
        <f t="shared" si="73"/>
        <v>46.5</v>
      </c>
      <c r="P105">
        <f t="shared" si="73"/>
        <v>46.5</v>
      </c>
      <c r="Q105">
        <f t="shared" si="73"/>
        <v>43.3</v>
      </c>
      <c r="R105">
        <f t="shared" si="73"/>
        <v>47.4</v>
      </c>
      <c r="V105">
        <v>1</v>
      </c>
    </row>
    <row r="106" spans="1:23" x14ac:dyDescent="0.45">
      <c r="A106" t="s">
        <v>165</v>
      </c>
      <c r="B106" t="s">
        <v>152</v>
      </c>
      <c r="C106" t="s">
        <v>16</v>
      </c>
      <c r="D106" t="s">
        <v>17</v>
      </c>
      <c r="E106">
        <f>239422/916155</f>
        <v>0.26133350797627042</v>
      </c>
      <c r="F106">
        <f>239993/919425</f>
        <v>0.26102509720749384</v>
      </c>
      <c r="G106">
        <f>240292/924664</f>
        <v>0.25986953098639071</v>
      </c>
      <c r="H106">
        <f>240315/930714</f>
        <v>0.25820499100690436</v>
      </c>
      <c r="I106">
        <f>240777/937543</f>
        <v>0.25681702065931911</v>
      </c>
      <c r="J106">
        <f>241321/963103</f>
        <v>0.25056613882419637</v>
      </c>
      <c r="K106">
        <f>243368/969208</f>
        <v>0.25109986710798921</v>
      </c>
      <c r="L106" s="14">
        <f t="shared" ref="L106:R107" si="74">IF(E106&lt;$T106,1,IF(E106&gt;$U106,100,(((((E106-$T106)/($U106-$T106))*99)+1))))</f>
        <v>53.498810932734429</v>
      </c>
      <c r="M106" s="14">
        <f t="shared" si="74"/>
        <v>53.203186649971578</v>
      </c>
      <c r="N106" s="14">
        <f t="shared" si="74"/>
        <v>52.095529363380336</v>
      </c>
      <c r="O106" s="14">
        <f t="shared" si="74"/>
        <v>50.5</v>
      </c>
      <c r="P106" s="14">
        <f t="shared" si="74"/>
        <v>49.169573892868073</v>
      </c>
      <c r="Q106" s="14">
        <f t="shared" si="74"/>
        <v>43.177849069270415</v>
      </c>
      <c r="R106" s="14">
        <f t="shared" si="74"/>
        <v>43.689449366861858</v>
      </c>
      <c r="S106">
        <f t="shared" ref="S106:S124" si="75">MEDIAN(E106:K106)</f>
        <v>0.25820499100690436</v>
      </c>
      <c r="T106">
        <f>S106*0.8</f>
        <v>0.20656399280552351</v>
      </c>
      <c r="U106">
        <f>S106*1.2</f>
        <v>0.30984598920828521</v>
      </c>
      <c r="V106">
        <v>1</v>
      </c>
      <c r="W106" t="s">
        <v>297</v>
      </c>
    </row>
    <row r="107" spans="1:23" x14ac:dyDescent="0.45">
      <c r="A107" t="s">
        <v>166</v>
      </c>
      <c r="B107" t="s">
        <v>152</v>
      </c>
      <c r="C107" t="s">
        <v>137</v>
      </c>
      <c r="D107" t="s">
        <v>17</v>
      </c>
      <c r="E107">
        <v>22</v>
      </c>
      <c r="F107">
        <v>20</v>
      </c>
      <c r="G107">
        <v>19</v>
      </c>
      <c r="H107">
        <v>19</v>
      </c>
      <c r="I107">
        <v>20</v>
      </c>
      <c r="J107">
        <v>18</v>
      </c>
      <c r="K107" s="2">
        <f>J107</f>
        <v>18</v>
      </c>
      <c r="L107" s="14">
        <f t="shared" si="74"/>
        <v>66.131578947368425</v>
      </c>
      <c r="M107" s="14">
        <f t="shared" si="74"/>
        <v>55.71052631578948</v>
      </c>
      <c r="N107" s="14">
        <f t="shared" si="74"/>
        <v>50.5</v>
      </c>
      <c r="O107" s="14">
        <f t="shared" si="74"/>
        <v>50.5</v>
      </c>
      <c r="P107" s="14">
        <f t="shared" si="74"/>
        <v>55.71052631578948</v>
      </c>
      <c r="Q107" s="14">
        <f t="shared" si="74"/>
        <v>45.289473684210527</v>
      </c>
      <c r="R107" s="14">
        <f t="shared" si="74"/>
        <v>45.289473684210527</v>
      </c>
      <c r="S107">
        <f t="shared" si="75"/>
        <v>19</v>
      </c>
      <c r="T107">
        <f>S107*0.5</f>
        <v>9.5</v>
      </c>
      <c r="U107">
        <f>S107*1.5</f>
        <v>28.5</v>
      </c>
      <c r="V107">
        <v>1</v>
      </c>
    </row>
    <row r="108" spans="1:23" x14ac:dyDescent="0.45">
      <c r="A108" t="s">
        <v>298</v>
      </c>
      <c r="B108" t="s">
        <v>152</v>
      </c>
      <c r="C108" s="8" t="s">
        <v>168</v>
      </c>
      <c r="D108" t="s">
        <v>10</v>
      </c>
      <c r="E108">
        <v>40.529999999999994</v>
      </c>
      <c r="F108">
        <v>40.51</v>
      </c>
      <c r="G108">
        <v>42.61</v>
      </c>
      <c r="H108">
        <v>45.849999999999994</v>
      </c>
      <c r="I108">
        <v>47.62222222222222</v>
      </c>
      <c r="J108">
        <v>49.125</v>
      </c>
      <c r="K108">
        <v>52.7</v>
      </c>
      <c r="L108" s="14">
        <f t="shared" ref="L108:R109" si="76">101-IF(E108&lt;$T108,1,IF(E108&gt;$U108,100,(((((E108-$T108)/($U108-$T108))*99)+1))))</f>
        <v>100</v>
      </c>
      <c r="M108" s="14">
        <f t="shared" si="76"/>
        <v>100</v>
      </c>
      <c r="N108" s="14">
        <f t="shared" si="76"/>
        <v>100</v>
      </c>
      <c r="O108" s="14">
        <f t="shared" si="76"/>
        <v>100</v>
      </c>
      <c r="P108" s="14">
        <f t="shared" si="76"/>
        <v>100</v>
      </c>
      <c r="Q108" s="14">
        <f t="shared" si="76"/>
        <v>100</v>
      </c>
      <c r="R108" s="14">
        <f t="shared" si="76"/>
        <v>94.653999999999996</v>
      </c>
      <c r="S108">
        <f t="shared" si="75"/>
        <v>45.849999999999994</v>
      </c>
      <c r="T108">
        <v>50</v>
      </c>
      <c r="U108">
        <v>100</v>
      </c>
      <c r="V108">
        <v>1</v>
      </c>
    </row>
    <row r="109" spans="1:23" x14ac:dyDescent="0.45">
      <c r="A109" t="s">
        <v>299</v>
      </c>
      <c r="B109" t="s">
        <v>152</v>
      </c>
      <c r="C109" s="8" t="s">
        <v>300</v>
      </c>
      <c r="D109" t="s">
        <v>10</v>
      </c>
      <c r="E109">
        <v>30.583333333333332</v>
      </c>
      <c r="F109">
        <v>25.416666666666668</v>
      </c>
      <c r="G109">
        <v>22.583333333333332</v>
      </c>
      <c r="H109">
        <v>22.727272727272727</v>
      </c>
      <c r="I109">
        <v>21.09090909090909</v>
      </c>
      <c r="J109">
        <v>18.600000000000001</v>
      </c>
      <c r="K109">
        <v>20.454545454545453</v>
      </c>
      <c r="L109" s="14">
        <f t="shared" si="76"/>
        <v>47.612500000000011</v>
      </c>
      <c r="M109" s="14">
        <f t="shared" si="76"/>
        <v>73.1875</v>
      </c>
      <c r="N109" s="14">
        <f t="shared" si="76"/>
        <v>87.212500000000006</v>
      </c>
      <c r="O109" s="14">
        <f t="shared" si="76"/>
        <v>86.5</v>
      </c>
      <c r="P109" s="14">
        <f t="shared" si="76"/>
        <v>94.600000000000009</v>
      </c>
      <c r="Q109" s="14">
        <f t="shared" si="76"/>
        <v>100</v>
      </c>
      <c r="R109" s="14">
        <f t="shared" si="76"/>
        <v>97.75</v>
      </c>
      <c r="S109">
        <f t="shared" si="75"/>
        <v>22.583333333333332</v>
      </c>
      <c r="T109">
        <v>20</v>
      </c>
      <c r="U109">
        <v>40</v>
      </c>
      <c r="V109">
        <v>1</v>
      </c>
    </row>
    <row r="110" spans="1:23" x14ac:dyDescent="0.45">
      <c r="A110" t="s">
        <v>174</v>
      </c>
      <c r="B110" t="s">
        <v>152</v>
      </c>
      <c r="C110" s="11" t="s">
        <v>113</v>
      </c>
      <c r="D110" t="s">
        <v>17</v>
      </c>
      <c r="E110">
        <v>33035.300000000003</v>
      </c>
      <c r="F110">
        <v>33464.5</v>
      </c>
      <c r="G110">
        <v>33441.4</v>
      </c>
      <c r="H110">
        <v>34017.9</v>
      </c>
      <c r="I110">
        <v>33314.9</v>
      </c>
      <c r="J110">
        <v>33304.9</v>
      </c>
      <c r="K110">
        <v>34117</v>
      </c>
      <c r="L110" s="14">
        <f t="shared" ref="L110:R110" si="77">IF(E110&lt;$T110,1,IF(E110&gt;$U110,100,(((((E110-$T110)/($U110-$T110))*99)+1))))</f>
        <v>49.297780595310002</v>
      </c>
      <c r="M110" s="14">
        <f t="shared" si="77"/>
        <v>50.568385294874005</v>
      </c>
      <c r="N110" s="14">
        <f t="shared" si="77"/>
        <v>50.499999999999986</v>
      </c>
      <c r="O110" s="14">
        <f t="shared" si="77"/>
        <v>52.206671969474954</v>
      </c>
      <c r="P110" s="14">
        <f t="shared" si="77"/>
        <v>50.125509099499411</v>
      </c>
      <c r="Q110" s="14">
        <f t="shared" si="77"/>
        <v>50.095905075744426</v>
      </c>
      <c r="R110" s="14">
        <f t="shared" si="77"/>
        <v>52.500047844886865</v>
      </c>
      <c r="S110">
        <f t="shared" si="75"/>
        <v>33441.4</v>
      </c>
      <c r="T110">
        <f>S110*0.5</f>
        <v>16720.7</v>
      </c>
      <c r="U110">
        <f>S110*1.5</f>
        <v>50162.100000000006</v>
      </c>
      <c r="V110">
        <v>0.66</v>
      </c>
    </row>
    <row r="111" spans="1:23" x14ac:dyDescent="0.45">
      <c r="A111" t="s">
        <v>176</v>
      </c>
      <c r="B111" t="s">
        <v>152</v>
      </c>
      <c r="C111" s="8" t="s">
        <v>170</v>
      </c>
      <c r="D111" t="s">
        <v>10</v>
      </c>
      <c r="E111">
        <v>23.3</v>
      </c>
      <c r="F111">
        <v>23.3</v>
      </c>
      <c r="G111">
        <v>23.3</v>
      </c>
      <c r="H111">
        <v>23.3</v>
      </c>
      <c r="I111">
        <v>23.3</v>
      </c>
      <c r="J111">
        <v>23.3</v>
      </c>
      <c r="K111">
        <v>23.3</v>
      </c>
      <c r="L111" s="14">
        <f t="shared" ref="L111:R111" si="78">101-IF(E111&lt;$T111,1,IF(E111&gt;$U111,100,(((((E111-$T111)/($U111-$T111))*99)+1))))</f>
        <v>12.219999999999999</v>
      </c>
      <c r="M111" s="14">
        <f t="shared" si="78"/>
        <v>12.219999999999999</v>
      </c>
      <c r="N111" s="14">
        <f t="shared" si="78"/>
        <v>12.219999999999999</v>
      </c>
      <c r="O111" s="14">
        <f t="shared" si="78"/>
        <v>12.219999999999999</v>
      </c>
      <c r="P111" s="14">
        <f t="shared" si="78"/>
        <v>12.219999999999999</v>
      </c>
      <c r="Q111" s="14">
        <f t="shared" si="78"/>
        <v>12.219999999999999</v>
      </c>
      <c r="R111" s="14">
        <f t="shared" si="78"/>
        <v>12.219999999999999</v>
      </c>
      <c r="S111">
        <f t="shared" si="75"/>
        <v>23.3</v>
      </c>
      <c r="T111">
        <v>10</v>
      </c>
      <c r="U111">
        <v>25</v>
      </c>
      <c r="V111">
        <v>0.66</v>
      </c>
    </row>
    <row r="112" spans="1:23" x14ac:dyDescent="0.45">
      <c r="A112" t="s">
        <v>177</v>
      </c>
      <c r="B112" t="s">
        <v>152</v>
      </c>
      <c r="C112" s="8" t="s">
        <v>170</v>
      </c>
      <c r="D112" t="s">
        <v>17</v>
      </c>
      <c r="E112">
        <v>51</v>
      </c>
      <c r="F112">
        <v>51</v>
      </c>
      <c r="G112">
        <v>51</v>
      </c>
      <c r="H112">
        <v>51</v>
      </c>
      <c r="I112">
        <v>51</v>
      </c>
      <c r="J112">
        <v>51</v>
      </c>
      <c r="K112">
        <v>51</v>
      </c>
      <c r="L112" s="14">
        <f t="shared" ref="L112:L124" si="79">IF(E112&lt;$T112,1,IF(E112&gt;$U112,100,(((((E112-$T112)/($U112-$T112))*99)+1))))</f>
        <v>77.725000000000009</v>
      </c>
      <c r="M112" s="14">
        <f t="shared" ref="M112:M124" si="80">IF(F112&lt;$T112,1,IF(F112&gt;$U112,100,(((((F112-$T112)/($U112-$T112))*99)+1))))</f>
        <v>77.725000000000009</v>
      </c>
      <c r="N112" s="14">
        <f t="shared" ref="N112:N124" si="81">IF(G112&lt;$T112,1,IF(G112&gt;$U112,100,(((((G112-$T112)/($U112-$T112))*99)+1))))</f>
        <v>77.725000000000009</v>
      </c>
      <c r="O112" s="14">
        <f t="shared" ref="O112:O124" si="82">IF(H112&lt;$T112,1,IF(H112&gt;$U112,100,(((((H112-$T112)/($U112-$T112))*99)+1))))</f>
        <v>77.725000000000009</v>
      </c>
      <c r="P112" s="14">
        <f t="shared" ref="P112:P124" si="83">IF(I112&lt;$T112,1,IF(I112&gt;$U112,100,(((((I112-$T112)/($U112-$T112))*99)+1))))</f>
        <v>77.725000000000009</v>
      </c>
      <c r="Q112" s="14">
        <f t="shared" ref="Q112:Q124" si="84">IF(J112&lt;$T112,1,IF(J112&gt;$U112,100,(((((J112-$T112)/($U112-$T112))*99)+1))))</f>
        <v>77.725000000000009</v>
      </c>
      <c r="R112" s="14">
        <f t="shared" ref="R112:R124" si="85">IF(K112&lt;$T112,1,IF(K112&gt;$U112,100,(((((K112-$T112)/($U112-$T112))*99)+1))))</f>
        <v>77.725000000000009</v>
      </c>
      <c r="S112">
        <f t="shared" si="75"/>
        <v>51</v>
      </c>
      <c r="T112">
        <v>20</v>
      </c>
      <c r="U112">
        <v>60</v>
      </c>
      <c r="V112">
        <v>0.66</v>
      </c>
    </row>
    <row r="113" spans="1:23" x14ac:dyDescent="0.45">
      <c r="A113" t="s">
        <v>178</v>
      </c>
      <c r="B113" t="s">
        <v>179</v>
      </c>
      <c r="C113" s="16" t="s">
        <v>301</v>
      </c>
      <c r="D113" t="s">
        <v>17</v>
      </c>
      <c r="E113">
        <f>758002/Lakosságszám!C3</f>
        <v>440.00863761378952</v>
      </c>
      <c r="F113">
        <f>777275/Lakosságszám!D3</f>
        <v>451.96897461437777</v>
      </c>
      <c r="G113">
        <f>785293/Lakosságszám!E3</f>
        <v>460.90057476627555</v>
      </c>
      <c r="H113">
        <f>808375/Lakosságszám!F3</f>
        <v>480.75407693135725</v>
      </c>
      <c r="I113">
        <f>806356/Lakosságszám!G3</f>
        <v>482.35024582421852</v>
      </c>
      <c r="J113">
        <f>818039/Lakosságszám!H3</f>
        <v>487.33031377690986</v>
      </c>
      <c r="K113">
        <f>824336/Lakosságszám!I3</f>
        <v>489.01267414717199</v>
      </c>
      <c r="L113" s="14">
        <f t="shared" si="79"/>
        <v>42.109434665251619</v>
      </c>
      <c r="M113" s="14">
        <f t="shared" si="80"/>
        <v>44.572384892561494</v>
      </c>
      <c r="N113" s="14">
        <f t="shared" si="81"/>
        <v>46.41163796906558</v>
      </c>
      <c r="O113" s="14">
        <f t="shared" si="82"/>
        <v>50.500000000000014</v>
      </c>
      <c r="P113" s="14">
        <f t="shared" si="83"/>
        <v>50.828693458830159</v>
      </c>
      <c r="Q113" s="14">
        <f t="shared" si="84"/>
        <v>51.854221376270658</v>
      </c>
      <c r="R113" s="14">
        <f t="shared" si="85"/>
        <v>52.200663943578789</v>
      </c>
      <c r="S113">
        <f t="shared" si="75"/>
        <v>480.75407693135725</v>
      </c>
      <c r="T113">
        <f t="shared" ref="T113:T123" si="86">S113*0.5</f>
        <v>240.37703846567862</v>
      </c>
      <c r="U113">
        <f t="shared" ref="U113:U123" si="87">S113*1.5</f>
        <v>721.13111539703584</v>
      </c>
      <c r="V113">
        <v>1</v>
      </c>
    </row>
    <row r="114" spans="1:23" x14ac:dyDescent="0.45">
      <c r="A114" t="s">
        <v>181</v>
      </c>
      <c r="B114" t="s">
        <v>179</v>
      </c>
      <c r="C114" t="s">
        <v>16</v>
      </c>
      <c r="D114" t="s">
        <v>17</v>
      </c>
      <c r="E114">
        <f>27220/Lakosságszám!C3</f>
        <v>15.800796192948502</v>
      </c>
      <c r="F114">
        <f>26124/Lakosságszám!D3</f>
        <v>15.190553527163495</v>
      </c>
      <c r="G114">
        <f>28286/Lakosságszám!E3</f>
        <v>16.601489708731481</v>
      </c>
      <c r="H114">
        <f>31400/Lakosságszám!F3</f>
        <v>18.674103003735414</v>
      </c>
      <c r="I114">
        <f>24502/Lakosságszám!G3</f>
        <v>14.656734399179769</v>
      </c>
      <c r="J114">
        <f>34195/Lakosságszám!H3</f>
        <v>20.370984854758063</v>
      </c>
      <c r="K114">
        <f>29396/Lakosságszám!I3</f>
        <v>17.438297695636571</v>
      </c>
      <c r="L114" s="14">
        <f t="shared" si="79"/>
        <v>45.725208131724216</v>
      </c>
      <c r="M114" s="14">
        <f t="shared" si="80"/>
        <v>42.086135676621517</v>
      </c>
      <c r="N114" s="14">
        <f t="shared" si="81"/>
        <v>50.499999999999986</v>
      </c>
      <c r="O114" s="14">
        <f t="shared" si="82"/>
        <v>62.859656862448382</v>
      </c>
      <c r="P114" s="14">
        <f t="shared" si="83"/>
        <v>38.902801253169528</v>
      </c>
      <c r="Q114" s="14">
        <f t="shared" si="84"/>
        <v>72.978706791015199</v>
      </c>
      <c r="R114" s="14">
        <f t="shared" si="85"/>
        <v>55.490154025757839</v>
      </c>
      <c r="S114">
        <f t="shared" si="75"/>
        <v>16.601489708731481</v>
      </c>
      <c r="T114">
        <f t="shared" si="86"/>
        <v>8.3007448543657407</v>
      </c>
      <c r="U114">
        <f t="shared" si="87"/>
        <v>24.902234563097224</v>
      </c>
      <c r="V114">
        <v>1</v>
      </c>
    </row>
    <row r="115" spans="1:23" x14ac:dyDescent="0.45">
      <c r="A115" t="s">
        <v>182</v>
      </c>
      <c r="B115" t="s">
        <v>179</v>
      </c>
      <c r="C115" t="s">
        <v>16</v>
      </c>
      <c r="D115" t="s">
        <v>17</v>
      </c>
      <c r="E115">
        <f>149446/Lakosságszám!C3</f>
        <v>86.751131074628276</v>
      </c>
      <c r="F115">
        <f>150326/Lakosságszám!D3</f>
        <v>87.411389891455343</v>
      </c>
      <c r="G115">
        <f>152219/Lakosságszám!E3</f>
        <v>89.339679062907351</v>
      </c>
      <c r="H115">
        <f>156220/Lakosságszám!F3</f>
        <v>92.906636026864547</v>
      </c>
      <c r="I115">
        <f>155223/Lakosságszám!G3</f>
        <v>92.852105282992454</v>
      </c>
      <c r="J115">
        <f>162004/Lakosságszám!H3</f>
        <v>96.510631098412787</v>
      </c>
      <c r="K115">
        <f>168726/Lakosságszám!I3</f>
        <v>100.09165250353708</v>
      </c>
      <c r="L115" s="14">
        <f t="shared" si="79"/>
        <v>43.995069984819324</v>
      </c>
      <c r="M115" s="14">
        <f t="shared" si="80"/>
        <v>44.699045653078649</v>
      </c>
      <c r="N115" s="14">
        <f t="shared" si="81"/>
        <v>46.755010107432447</v>
      </c>
      <c r="O115" s="14">
        <f t="shared" si="82"/>
        <v>50.558141316525713</v>
      </c>
      <c r="P115" s="14">
        <f t="shared" si="83"/>
        <v>50.5</v>
      </c>
      <c r="Q115" s="14">
        <f t="shared" si="84"/>
        <v>54.400762988870589</v>
      </c>
      <c r="R115" s="14">
        <f t="shared" si="85"/>
        <v>58.218889869535325</v>
      </c>
      <c r="S115">
        <f t="shared" si="75"/>
        <v>92.852105282992454</v>
      </c>
      <c r="T115">
        <f t="shared" si="86"/>
        <v>46.426052641496227</v>
      </c>
      <c r="U115">
        <f t="shared" si="87"/>
        <v>139.27815792448868</v>
      </c>
      <c r="V115">
        <v>1</v>
      </c>
    </row>
    <row r="116" spans="1:23" x14ac:dyDescent="0.45">
      <c r="A116" t="s">
        <v>183</v>
      </c>
      <c r="B116" t="s">
        <v>179</v>
      </c>
      <c r="C116" s="16" t="s">
        <v>302</v>
      </c>
      <c r="D116" t="s">
        <v>17</v>
      </c>
      <c r="E116">
        <f>85/Lakosságszám!C3</f>
        <v>4.9341207803108841E-2</v>
      </c>
      <c r="F116">
        <f>92/Lakosságszám!D3</f>
        <v>5.3496054375250401E-2</v>
      </c>
      <c r="G116">
        <f>92/Lakosságszám!E3</f>
        <v>5.3996219090832791E-2</v>
      </c>
      <c r="H116">
        <f>89/Lakosságszám!F3</f>
        <v>5.2929782399122674E-2</v>
      </c>
      <c r="I116">
        <f>91/Lakosságszám!G3</f>
        <v>5.4434855535277077E-2</v>
      </c>
      <c r="J116">
        <f>93/Lakosságszám!H3</f>
        <v>5.5402883213700835E-2</v>
      </c>
      <c r="K116">
        <f>86/Lakosságszám!I3</f>
        <v>5.10169275352002E-2</v>
      </c>
      <c r="L116" s="14">
        <f t="shared" si="79"/>
        <v>42.811025262597433</v>
      </c>
      <c r="M116" s="14">
        <f t="shared" si="80"/>
        <v>50.5</v>
      </c>
      <c r="N116" s="14">
        <f t="shared" si="81"/>
        <v>51.425606709147601</v>
      </c>
      <c r="O116" s="14">
        <f t="shared" si="82"/>
        <v>49.452054945147857</v>
      </c>
      <c r="P116" s="14">
        <f t="shared" si="83"/>
        <v>52.237348967658434</v>
      </c>
      <c r="Q116" s="14">
        <f t="shared" si="84"/>
        <v>54.028784640497321</v>
      </c>
      <c r="R116" s="14">
        <f t="shared" si="85"/>
        <v>45.912118519183387</v>
      </c>
      <c r="S116">
        <f t="shared" si="75"/>
        <v>5.3496054375250401E-2</v>
      </c>
      <c r="T116">
        <f t="shared" si="86"/>
        <v>2.6748027187625201E-2</v>
      </c>
      <c r="U116">
        <f t="shared" si="87"/>
        <v>8.0244081562875602E-2</v>
      </c>
      <c r="V116">
        <v>0.66</v>
      </c>
    </row>
    <row r="117" spans="1:23" x14ac:dyDescent="0.45">
      <c r="A117" t="s">
        <v>185</v>
      </c>
      <c r="B117" t="s">
        <v>179</v>
      </c>
      <c r="C117" s="16" t="s">
        <v>302</v>
      </c>
      <c r="D117" t="s">
        <v>17</v>
      </c>
      <c r="E117">
        <f>764/Lakosságszám!C3</f>
        <v>0.44349038543029595</v>
      </c>
      <c r="F117">
        <f>738/Lakosságszám!D3</f>
        <v>0.42913139270581302</v>
      </c>
      <c r="G117">
        <f>651/Lakosságszám!E3</f>
        <v>0.38208194161013204</v>
      </c>
      <c r="H117">
        <f>630/Lakosságszám!F3</f>
        <v>0.37467149338704814</v>
      </c>
      <c r="I117">
        <f>778/Lakosságszám!G3</f>
        <v>0.46538810556533589</v>
      </c>
      <c r="J117">
        <f>731/Lakosságszám!H3</f>
        <v>0.43547857665822914</v>
      </c>
      <c r="K117">
        <f>803/Lakosságszám!I3</f>
        <v>0.47635573035774137</v>
      </c>
      <c r="L117" s="14">
        <f t="shared" si="79"/>
        <v>52.321373337171323</v>
      </c>
      <c r="M117" s="14">
        <f t="shared" si="80"/>
        <v>49.057055972509183</v>
      </c>
      <c r="N117" s="14">
        <f t="shared" si="81"/>
        <v>38.361017388438924</v>
      </c>
      <c r="O117" s="14">
        <f t="shared" si="82"/>
        <v>36.676355011439668</v>
      </c>
      <c r="P117" s="14">
        <f t="shared" si="83"/>
        <v>57.299515568655515</v>
      </c>
      <c r="Q117" s="14">
        <f t="shared" si="84"/>
        <v>50.500000000000014</v>
      </c>
      <c r="R117" s="14">
        <f t="shared" si="85"/>
        <v>59.792852583716737</v>
      </c>
      <c r="S117">
        <f t="shared" si="75"/>
        <v>0.43547857665822914</v>
      </c>
      <c r="T117">
        <f t="shared" si="86"/>
        <v>0.21773928832911457</v>
      </c>
      <c r="U117">
        <f t="shared" si="87"/>
        <v>0.65321786498734369</v>
      </c>
      <c r="V117">
        <v>0.66</v>
      </c>
    </row>
    <row r="118" spans="1:23" x14ac:dyDescent="0.45">
      <c r="A118" t="s">
        <v>186</v>
      </c>
      <c r="B118" t="s">
        <v>179</v>
      </c>
      <c r="C118" s="5" t="s">
        <v>184</v>
      </c>
      <c r="D118" t="s">
        <v>17</v>
      </c>
      <c r="E118">
        <v>2288</v>
      </c>
      <c r="F118">
        <v>2766</v>
      </c>
      <c r="G118">
        <v>722</v>
      </c>
      <c r="H118">
        <v>1042</v>
      </c>
      <c r="I118">
        <v>2412</v>
      </c>
      <c r="J118">
        <v>3183</v>
      </c>
      <c r="K118">
        <v>2733</v>
      </c>
      <c r="L118" s="14">
        <f t="shared" si="79"/>
        <v>45.410447761194028</v>
      </c>
      <c r="M118" s="14">
        <f t="shared" si="80"/>
        <v>65.029850746268664</v>
      </c>
      <c r="N118" s="14">
        <f t="shared" si="81"/>
        <v>1</v>
      </c>
      <c r="O118" s="14">
        <f t="shared" si="82"/>
        <v>1</v>
      </c>
      <c r="P118" s="14">
        <f t="shared" si="83"/>
        <v>50.5</v>
      </c>
      <c r="Q118" s="14">
        <f t="shared" si="84"/>
        <v>82.145522388059703</v>
      </c>
      <c r="R118" s="14">
        <f t="shared" si="85"/>
        <v>63.67537313432836</v>
      </c>
      <c r="S118">
        <f t="shared" si="75"/>
        <v>2412</v>
      </c>
      <c r="T118">
        <f t="shared" si="86"/>
        <v>1206</v>
      </c>
      <c r="U118">
        <f t="shared" si="87"/>
        <v>3618</v>
      </c>
      <c r="V118">
        <v>0.66</v>
      </c>
    </row>
    <row r="119" spans="1:23" x14ac:dyDescent="0.45">
      <c r="A119" t="s">
        <v>187</v>
      </c>
      <c r="B119" t="s">
        <v>179</v>
      </c>
      <c r="C119" s="16" t="s">
        <v>303</v>
      </c>
      <c r="D119" t="s">
        <v>17</v>
      </c>
      <c r="E119">
        <f>59/Lakosságszám!C3</f>
        <v>3.4248603063334375E-2</v>
      </c>
      <c r="F119">
        <f>54/Lakosságszám!D3</f>
        <v>3.1399858002864364E-2</v>
      </c>
      <c r="G119">
        <f>59/Lakosságszám!E3</f>
        <v>3.4628010069121029E-2</v>
      </c>
      <c r="H119">
        <f>58/Lakosságszám!F3</f>
        <v>3.4493566057855224E-2</v>
      </c>
      <c r="I119">
        <f>59/Lakosságszám!G3</f>
        <v>3.5292928314080742E-2</v>
      </c>
      <c r="J119">
        <f>56/Lakosságszám!H3</f>
        <v>3.3360875913626312E-2</v>
      </c>
      <c r="K119">
        <f>54/Lakosságszám!I3</f>
        <v>3.2033884731404776E-2</v>
      </c>
      <c r="L119" s="14">
        <f t="shared" si="79"/>
        <v>50.500000000000014</v>
      </c>
      <c r="M119" s="14">
        <f t="shared" si="80"/>
        <v>42.265335349152977</v>
      </c>
      <c r="N119" s="14">
        <f t="shared" si="81"/>
        <v>51.596724835854438</v>
      </c>
      <c r="O119" s="14">
        <f t="shared" si="82"/>
        <v>51.208097098521577</v>
      </c>
      <c r="P119" s="14">
        <f t="shared" si="83"/>
        <v>53.518756695935878</v>
      </c>
      <c r="Q119" s="14">
        <f t="shared" si="84"/>
        <v>47.933910292382549</v>
      </c>
      <c r="R119" s="14">
        <f t="shared" si="85"/>
        <v>44.098071300731078</v>
      </c>
      <c r="S119">
        <f t="shared" si="75"/>
        <v>3.4248603063334375E-2</v>
      </c>
      <c r="T119">
        <f t="shared" si="86"/>
        <v>1.7124301531667187E-2</v>
      </c>
      <c r="U119">
        <f t="shared" si="87"/>
        <v>5.1372904595001559E-2</v>
      </c>
      <c r="V119">
        <v>0.66</v>
      </c>
    </row>
    <row r="120" spans="1:23" x14ac:dyDescent="0.45">
      <c r="A120" t="s">
        <v>189</v>
      </c>
      <c r="B120" t="s">
        <v>179</v>
      </c>
      <c r="C120" s="3" t="s">
        <v>188</v>
      </c>
      <c r="D120" t="s">
        <v>17</v>
      </c>
      <c r="E120">
        <f>3533000/Lakosságszám!C3</f>
        <v>2050.8527902162768</v>
      </c>
      <c r="F120">
        <f>3973000/Lakosságszám!D3</f>
        <v>2310.2154786181504</v>
      </c>
      <c r="G120">
        <f>2015000/Lakosságszám!E3</f>
        <v>1182.6345811742181</v>
      </c>
      <c r="H120">
        <f>2105000/Lakosságszám!F3</f>
        <v>1251.8785612376766</v>
      </c>
      <c r="I120">
        <f>3106000/Lakosságszám!G3</f>
        <v>1857.9633109073693</v>
      </c>
      <c r="J120">
        <f>3292000/Lakosságszám!H3</f>
        <v>1961.1429197796037</v>
      </c>
      <c r="K120">
        <f>2271000/Lakosságszám!I3</f>
        <v>1347.2028189818564</v>
      </c>
      <c r="L120" s="14">
        <f t="shared" si="79"/>
        <v>60.777952389843456</v>
      </c>
      <c r="M120" s="14">
        <f t="shared" si="80"/>
        <v>74.597873375928856</v>
      </c>
      <c r="N120" s="14">
        <f t="shared" si="81"/>
        <v>14.515681121856542</v>
      </c>
      <c r="O120" s="14">
        <f t="shared" si="82"/>
        <v>18.205287900439572</v>
      </c>
      <c r="P120" s="14">
        <f t="shared" si="83"/>
        <v>50.5</v>
      </c>
      <c r="Q120" s="14">
        <f t="shared" si="84"/>
        <v>55.997837991947556</v>
      </c>
      <c r="R120" s="14">
        <f t="shared" si="85"/>
        <v>23.284560166620661</v>
      </c>
      <c r="S120">
        <f t="shared" si="75"/>
        <v>1857.9633109073693</v>
      </c>
      <c r="T120">
        <f t="shared" si="86"/>
        <v>928.98165545368465</v>
      </c>
      <c r="U120">
        <f t="shared" si="87"/>
        <v>2786.944966361054</v>
      </c>
      <c r="V120">
        <v>0.66</v>
      </c>
    </row>
    <row r="121" spans="1:23" x14ac:dyDescent="0.45">
      <c r="A121" t="s">
        <v>304</v>
      </c>
      <c r="B121" t="s">
        <v>179</v>
      </c>
      <c r="C121" s="16" t="s">
        <v>303</v>
      </c>
      <c r="D121" t="s">
        <v>17</v>
      </c>
      <c r="E121">
        <f>313000/Lakosságszám!C3</f>
        <v>181.69174167497727</v>
      </c>
      <c r="F121">
        <f>292000/Lakosságszám!D3</f>
        <v>169.79182475622954</v>
      </c>
      <c r="G121">
        <f>180000/Lakosságszám!E3</f>
        <v>105.64477648206415</v>
      </c>
      <c r="H121">
        <f>244000/Lakosságszám!F3</f>
        <v>145.11086410545991</v>
      </c>
      <c r="I121">
        <f>263000/Lakosságszám!G3</f>
        <v>157.32271434920739</v>
      </c>
      <c r="J121">
        <f>305000/Lakosságszám!H3</f>
        <v>181.69762774385757</v>
      </c>
      <c r="K121">
        <f>205000/Lakosságszám!I3</f>
        <v>121.61011796181442</v>
      </c>
      <c r="L121" s="14">
        <f t="shared" si="79"/>
        <v>65.834935678112856</v>
      </c>
      <c r="M121" s="14">
        <f t="shared" si="80"/>
        <v>58.346558810033734</v>
      </c>
      <c r="N121" s="14">
        <f t="shared" si="81"/>
        <v>17.980119638089903</v>
      </c>
      <c r="O121" s="14">
        <f t="shared" si="82"/>
        <v>42.815329803886698</v>
      </c>
      <c r="P121" s="14">
        <f t="shared" si="83"/>
        <v>50.5</v>
      </c>
      <c r="Q121" s="14">
        <f t="shared" si="84"/>
        <v>65.838639662127889</v>
      </c>
      <c r="R121" s="14">
        <f t="shared" si="85"/>
        <v>28.026785900069768</v>
      </c>
      <c r="S121">
        <f t="shared" si="75"/>
        <v>157.32271434920739</v>
      </c>
      <c r="T121">
        <f t="shared" si="86"/>
        <v>78.661357174603694</v>
      </c>
      <c r="U121">
        <f t="shared" si="87"/>
        <v>235.98407152381108</v>
      </c>
      <c r="V121">
        <v>0.66</v>
      </c>
    </row>
    <row r="122" spans="1:23" x14ac:dyDescent="0.45">
      <c r="A122" t="s">
        <v>191</v>
      </c>
      <c r="B122" t="s">
        <v>179</v>
      </c>
      <c r="C122" s="16" t="s">
        <v>51</v>
      </c>
      <c r="D122" t="s">
        <v>17</v>
      </c>
      <c r="E122">
        <v>3162</v>
      </c>
      <c r="F122">
        <v>2909</v>
      </c>
      <c r="G122">
        <v>1648</v>
      </c>
      <c r="H122">
        <v>1201</v>
      </c>
      <c r="I122">
        <v>2418</v>
      </c>
      <c r="J122">
        <v>2733</v>
      </c>
      <c r="K122">
        <v>2671</v>
      </c>
      <c r="L122" s="14">
        <f t="shared" si="79"/>
        <v>68.698801946836383</v>
      </c>
      <c r="M122" s="14">
        <f t="shared" si="80"/>
        <v>59.321415200299519</v>
      </c>
      <c r="N122" s="14">
        <f t="shared" si="81"/>
        <v>12.582740546611756</v>
      </c>
      <c r="O122" s="14">
        <f t="shared" si="82"/>
        <v>1</v>
      </c>
      <c r="P122" s="14">
        <f t="shared" si="83"/>
        <v>41.122613253463122</v>
      </c>
      <c r="Q122" s="14">
        <f t="shared" si="84"/>
        <v>52.798015724447779</v>
      </c>
      <c r="R122" s="14">
        <f t="shared" si="85"/>
        <v>50.5</v>
      </c>
      <c r="S122">
        <f t="shared" si="75"/>
        <v>2671</v>
      </c>
      <c r="T122">
        <f t="shared" si="86"/>
        <v>1335.5</v>
      </c>
      <c r="U122">
        <f t="shared" si="87"/>
        <v>4006.5</v>
      </c>
      <c r="V122">
        <v>0.66</v>
      </c>
    </row>
    <row r="123" spans="1:23" x14ac:dyDescent="0.45">
      <c r="A123" t="s">
        <v>192</v>
      </c>
      <c r="B123" t="s">
        <v>179</v>
      </c>
      <c r="C123" s="3" t="s">
        <v>53</v>
      </c>
      <c r="D123" t="s">
        <v>17</v>
      </c>
      <c r="E123">
        <v>4595</v>
      </c>
      <c r="F123">
        <v>4462</v>
      </c>
      <c r="G123">
        <v>1320</v>
      </c>
      <c r="H123">
        <v>1831</v>
      </c>
      <c r="I123">
        <v>3088</v>
      </c>
      <c r="J123">
        <v>3502</v>
      </c>
      <c r="K123">
        <v>3271</v>
      </c>
      <c r="L123" s="14">
        <f t="shared" si="79"/>
        <v>90.572149189850194</v>
      </c>
      <c r="M123" s="14">
        <f t="shared" si="80"/>
        <v>86.546774686640177</v>
      </c>
      <c r="N123" s="14">
        <f t="shared" si="81"/>
        <v>1</v>
      </c>
      <c r="O123" s="14">
        <f t="shared" si="82"/>
        <v>6.9169978599816568</v>
      </c>
      <c r="P123" s="14">
        <f t="shared" si="83"/>
        <v>44.961326811372672</v>
      </c>
      <c r="Q123" s="14">
        <f t="shared" si="84"/>
        <v>57.49143992662794</v>
      </c>
      <c r="R123" s="14">
        <f t="shared" si="85"/>
        <v>50.5</v>
      </c>
      <c r="S123">
        <f t="shared" si="75"/>
        <v>3271</v>
      </c>
      <c r="T123">
        <f t="shared" si="86"/>
        <v>1635.5</v>
      </c>
      <c r="U123">
        <f t="shared" si="87"/>
        <v>4906.5</v>
      </c>
      <c r="V123">
        <v>0.66</v>
      </c>
    </row>
    <row r="124" spans="1:23" x14ac:dyDescent="0.45">
      <c r="A124" t="s">
        <v>193</v>
      </c>
      <c r="B124" t="s">
        <v>179</v>
      </c>
      <c r="C124" s="12" t="s">
        <v>194</v>
      </c>
      <c r="D124" t="s">
        <v>17</v>
      </c>
      <c r="E124">
        <v>102.4</v>
      </c>
      <c r="F124">
        <v>103.3</v>
      </c>
      <c r="G124">
        <v>107.5</v>
      </c>
      <c r="H124">
        <v>104</v>
      </c>
      <c r="I124">
        <v>104</v>
      </c>
      <c r="J124">
        <v>101.5</v>
      </c>
      <c r="K124">
        <v>71.2</v>
      </c>
      <c r="L124" s="14">
        <f t="shared" si="79"/>
        <v>48.343659244917731</v>
      </c>
      <c r="M124" s="14">
        <f t="shared" si="80"/>
        <v>50.5</v>
      </c>
      <c r="N124" s="14">
        <f t="shared" si="81"/>
        <v>60.562923523717338</v>
      </c>
      <c r="O124" s="14">
        <f t="shared" si="82"/>
        <v>52.17715392061956</v>
      </c>
      <c r="P124" s="14">
        <f t="shared" si="83"/>
        <v>52.17715392061956</v>
      </c>
      <c r="Q124" s="14">
        <f t="shared" si="84"/>
        <v>46.187318489835434</v>
      </c>
      <c r="R124" s="14">
        <f t="shared" si="85"/>
        <v>1</v>
      </c>
      <c r="S124">
        <f t="shared" si="75"/>
        <v>103.3</v>
      </c>
      <c r="T124">
        <f>S124*0.8</f>
        <v>82.64</v>
      </c>
      <c r="U124">
        <f>S124*1.2</f>
        <v>123.96</v>
      </c>
      <c r="V124">
        <v>1</v>
      </c>
    </row>
    <row r="125" spans="1:23" x14ac:dyDescent="0.45">
      <c r="A125" t="s">
        <v>195</v>
      </c>
      <c r="B125" t="s">
        <v>179</v>
      </c>
      <c r="C125" t="s">
        <v>55</v>
      </c>
      <c r="D125" t="s">
        <v>17</v>
      </c>
      <c r="E125">
        <f>F125</f>
        <v>53.39</v>
      </c>
      <c r="F125">
        <v>53.39</v>
      </c>
      <c r="G125">
        <v>54.5</v>
      </c>
      <c r="H125">
        <v>49.8</v>
      </c>
      <c r="I125">
        <f>H125</f>
        <v>49.8</v>
      </c>
      <c r="J125">
        <v>53</v>
      </c>
      <c r="K125">
        <v>53.9</v>
      </c>
      <c r="L125">
        <f t="shared" ref="L125:R127" si="88">E125</f>
        <v>53.39</v>
      </c>
      <c r="M125">
        <f t="shared" si="88"/>
        <v>53.39</v>
      </c>
      <c r="N125">
        <f t="shared" si="88"/>
        <v>54.5</v>
      </c>
      <c r="O125">
        <f t="shared" si="88"/>
        <v>49.8</v>
      </c>
      <c r="P125">
        <f t="shared" si="88"/>
        <v>49.8</v>
      </c>
      <c r="Q125">
        <f t="shared" si="88"/>
        <v>53</v>
      </c>
      <c r="R125">
        <f t="shared" si="88"/>
        <v>53.9</v>
      </c>
      <c r="V125">
        <v>1</v>
      </c>
    </row>
    <row r="126" spans="1:23" x14ac:dyDescent="0.45">
      <c r="A126" t="s">
        <v>196</v>
      </c>
      <c r="B126" t="s">
        <v>179</v>
      </c>
      <c r="C126" t="s">
        <v>55</v>
      </c>
      <c r="D126" t="s">
        <v>17</v>
      </c>
      <c r="E126">
        <f>F126</f>
        <v>64.63</v>
      </c>
      <c r="F126">
        <v>64.63</v>
      </c>
      <c r="G126">
        <v>64.8</v>
      </c>
      <c r="H126">
        <v>61</v>
      </c>
      <c r="I126">
        <f>H126</f>
        <v>61</v>
      </c>
      <c r="J126">
        <v>60.6</v>
      </c>
      <c r="K126">
        <v>61.7</v>
      </c>
      <c r="L126">
        <f t="shared" si="88"/>
        <v>64.63</v>
      </c>
      <c r="M126">
        <f t="shared" si="88"/>
        <v>64.63</v>
      </c>
      <c r="N126">
        <f t="shared" si="88"/>
        <v>64.8</v>
      </c>
      <c r="O126">
        <f t="shared" si="88"/>
        <v>61</v>
      </c>
      <c r="P126">
        <f t="shared" si="88"/>
        <v>61</v>
      </c>
      <c r="Q126">
        <f t="shared" si="88"/>
        <v>60.6</v>
      </c>
      <c r="R126">
        <f t="shared" si="88"/>
        <v>61.7</v>
      </c>
      <c r="V126">
        <v>1</v>
      </c>
    </row>
    <row r="127" spans="1:23" x14ac:dyDescent="0.45">
      <c r="A127" t="s">
        <v>197</v>
      </c>
      <c r="B127" t="s">
        <v>179</v>
      </c>
      <c r="C127" t="s">
        <v>55</v>
      </c>
      <c r="D127" t="s">
        <v>17</v>
      </c>
      <c r="E127">
        <f>F127</f>
        <v>56.23</v>
      </c>
      <c r="F127">
        <v>56.23</v>
      </c>
      <c r="G127">
        <v>54.6</v>
      </c>
      <c r="H127">
        <v>50.7</v>
      </c>
      <c r="I127">
        <f>H127</f>
        <v>50.7</v>
      </c>
      <c r="J127">
        <v>51.1</v>
      </c>
      <c r="K127">
        <v>55.9</v>
      </c>
      <c r="L127">
        <f t="shared" si="88"/>
        <v>56.23</v>
      </c>
      <c r="M127">
        <f t="shared" si="88"/>
        <v>56.23</v>
      </c>
      <c r="N127">
        <f t="shared" si="88"/>
        <v>54.6</v>
      </c>
      <c r="O127">
        <f t="shared" si="88"/>
        <v>50.7</v>
      </c>
      <c r="P127">
        <f t="shared" si="88"/>
        <v>50.7</v>
      </c>
      <c r="Q127">
        <f t="shared" si="88"/>
        <v>51.1</v>
      </c>
      <c r="R127">
        <f t="shared" si="88"/>
        <v>55.9</v>
      </c>
      <c r="V127">
        <v>1</v>
      </c>
    </row>
    <row r="128" spans="1:23" x14ac:dyDescent="0.45">
      <c r="A128" t="s">
        <v>198</v>
      </c>
      <c r="B128" t="s">
        <v>179</v>
      </c>
      <c r="C128" s="8" t="s">
        <v>305</v>
      </c>
      <c r="D128" t="s">
        <v>17</v>
      </c>
      <c r="E128">
        <v>53</v>
      </c>
      <c r="F128">
        <v>54</v>
      </c>
      <c r="G128" t="s">
        <v>263</v>
      </c>
      <c r="H128">
        <v>51</v>
      </c>
      <c r="I128">
        <v>59</v>
      </c>
      <c r="J128">
        <v>58</v>
      </c>
      <c r="K128">
        <f>1522-1464</f>
        <v>58</v>
      </c>
      <c r="L128" s="14">
        <f t="shared" ref="L128:M133" si="89">IF(E128&lt;$T128,1,IF(E128&gt;$U128,100,(((((E128-$T128)/($U128-$T128))*99)+1))))</f>
        <v>45.196428571428577</v>
      </c>
      <c r="M128" s="14">
        <f t="shared" si="89"/>
        <v>46.964285714285715</v>
      </c>
      <c r="N128" s="14">
        <v>50</v>
      </c>
      <c r="O128" s="14">
        <f t="shared" ref="O128:R133" si="90">IF(H128&lt;$T128,1,IF(H128&gt;$U128,100,(((((H128-$T128)/($U128-$T128))*99)+1))))</f>
        <v>41.660714285714285</v>
      </c>
      <c r="P128" s="14">
        <f t="shared" si="90"/>
        <v>55.803571428571431</v>
      </c>
      <c r="Q128" s="14">
        <f t="shared" si="90"/>
        <v>54.035714285714285</v>
      </c>
      <c r="R128" s="14">
        <f t="shared" si="90"/>
        <v>54.035714285714285</v>
      </c>
      <c r="S128">
        <f t="shared" ref="S128:S140" si="91">MEDIAN(E128:K128)</f>
        <v>56</v>
      </c>
      <c r="T128">
        <f t="shared" ref="T128:T136" si="92">S128*0.5</f>
        <v>28</v>
      </c>
      <c r="U128">
        <f t="shared" ref="U128:U136" si="93">S128*1.5</f>
        <v>84</v>
      </c>
      <c r="V128">
        <v>1</v>
      </c>
      <c r="W128" t="s">
        <v>306</v>
      </c>
    </row>
    <row r="129" spans="1:22" x14ac:dyDescent="0.45">
      <c r="A129" t="s">
        <v>200</v>
      </c>
      <c r="B129" t="s">
        <v>179</v>
      </c>
      <c r="C129" s="8" t="s">
        <v>305</v>
      </c>
      <c r="D129" t="s">
        <v>17</v>
      </c>
      <c r="E129">
        <v>54</v>
      </c>
      <c r="F129">
        <v>70</v>
      </c>
      <c r="G129" t="s">
        <v>263</v>
      </c>
      <c r="H129">
        <v>69</v>
      </c>
      <c r="I129">
        <v>66</v>
      </c>
      <c r="J129">
        <v>74</v>
      </c>
      <c r="K129">
        <f>1626-1578</f>
        <v>48</v>
      </c>
      <c r="L129" s="14">
        <f t="shared" si="89"/>
        <v>30.7</v>
      </c>
      <c r="M129" s="14">
        <f t="shared" si="89"/>
        <v>54.166666666666671</v>
      </c>
      <c r="N129" s="14">
        <v>50</v>
      </c>
      <c r="O129" s="14">
        <f t="shared" si="90"/>
        <v>52.7</v>
      </c>
      <c r="P129" s="14">
        <f t="shared" si="90"/>
        <v>48.300000000000004</v>
      </c>
      <c r="Q129" s="14">
        <f t="shared" si="90"/>
        <v>60.033333333333339</v>
      </c>
      <c r="R129" s="14">
        <f t="shared" si="90"/>
        <v>21.9</v>
      </c>
      <c r="S129">
        <f t="shared" si="91"/>
        <v>67.5</v>
      </c>
      <c r="T129">
        <f t="shared" si="92"/>
        <v>33.75</v>
      </c>
      <c r="U129">
        <f t="shared" si="93"/>
        <v>101.25</v>
      </c>
      <c r="V129">
        <v>1</v>
      </c>
    </row>
    <row r="130" spans="1:22" x14ac:dyDescent="0.45">
      <c r="A130" t="s">
        <v>201</v>
      </c>
      <c r="B130" t="s">
        <v>179</v>
      </c>
      <c r="C130" s="8" t="s">
        <v>305</v>
      </c>
      <c r="D130" t="s">
        <v>17</v>
      </c>
      <c r="E130">
        <v>50</v>
      </c>
      <c r="F130">
        <v>47</v>
      </c>
      <c r="G130" t="s">
        <v>263</v>
      </c>
      <c r="H130">
        <v>50</v>
      </c>
      <c r="I130">
        <v>51</v>
      </c>
      <c r="J130">
        <v>35</v>
      </c>
      <c r="K130">
        <f>1661-1623</f>
        <v>38</v>
      </c>
      <c r="L130" s="14">
        <f t="shared" si="89"/>
        <v>53.561855670103093</v>
      </c>
      <c r="M130" s="14">
        <f t="shared" si="89"/>
        <v>47.438144329896907</v>
      </c>
      <c r="N130" s="14">
        <v>50</v>
      </c>
      <c r="O130" s="14">
        <f t="shared" si="90"/>
        <v>53.561855670103093</v>
      </c>
      <c r="P130" s="14">
        <f t="shared" si="90"/>
        <v>55.603092783505161</v>
      </c>
      <c r="Q130" s="14">
        <f t="shared" si="90"/>
        <v>22.943298969072163</v>
      </c>
      <c r="R130" s="14">
        <f t="shared" si="90"/>
        <v>29.067010309278349</v>
      </c>
      <c r="S130">
        <f t="shared" si="91"/>
        <v>48.5</v>
      </c>
      <c r="T130">
        <f t="shared" si="92"/>
        <v>24.25</v>
      </c>
      <c r="U130">
        <f t="shared" si="93"/>
        <v>72.75</v>
      </c>
      <c r="V130">
        <v>1</v>
      </c>
    </row>
    <row r="131" spans="1:22" x14ac:dyDescent="0.45">
      <c r="A131" t="s">
        <v>202</v>
      </c>
      <c r="B131" t="s">
        <v>179</v>
      </c>
      <c r="C131" s="8" t="s">
        <v>305</v>
      </c>
      <c r="D131" t="s">
        <v>17</v>
      </c>
      <c r="E131">
        <v>45</v>
      </c>
      <c r="F131">
        <v>63</v>
      </c>
      <c r="G131" t="s">
        <v>263</v>
      </c>
      <c r="H131">
        <v>60</v>
      </c>
      <c r="I131">
        <v>62</v>
      </c>
      <c r="J131">
        <v>55</v>
      </c>
      <c r="K131">
        <f>1501-1440</f>
        <v>61</v>
      </c>
      <c r="L131" s="14">
        <f t="shared" si="89"/>
        <v>25.136363636363637</v>
      </c>
      <c r="M131" s="14">
        <f t="shared" si="89"/>
        <v>54.590909090909086</v>
      </c>
      <c r="N131" s="14">
        <v>50</v>
      </c>
      <c r="O131" s="14">
        <f t="shared" si="90"/>
        <v>49.681818181818187</v>
      </c>
      <c r="P131" s="14">
        <f t="shared" si="90"/>
        <v>52.95454545454546</v>
      </c>
      <c r="Q131" s="14">
        <f t="shared" si="90"/>
        <v>41.5</v>
      </c>
      <c r="R131" s="14">
        <f t="shared" si="90"/>
        <v>51.318181818181813</v>
      </c>
      <c r="S131">
        <f t="shared" si="91"/>
        <v>60.5</v>
      </c>
      <c r="T131">
        <f t="shared" si="92"/>
        <v>30.25</v>
      </c>
      <c r="U131">
        <f t="shared" si="93"/>
        <v>90.75</v>
      </c>
      <c r="V131">
        <v>1</v>
      </c>
    </row>
    <row r="132" spans="1:22" x14ac:dyDescent="0.45">
      <c r="A132" t="s">
        <v>203</v>
      </c>
      <c r="B132" t="s">
        <v>179</v>
      </c>
      <c r="C132" s="8" t="s">
        <v>305</v>
      </c>
      <c r="D132" t="s">
        <v>17</v>
      </c>
      <c r="E132">
        <v>-4</v>
      </c>
      <c r="F132">
        <v>65</v>
      </c>
      <c r="G132" t="s">
        <v>263</v>
      </c>
      <c r="H132">
        <v>67</v>
      </c>
      <c r="I132">
        <v>63</v>
      </c>
      <c r="J132">
        <v>55</v>
      </c>
      <c r="K132">
        <f>1547-1500</f>
        <v>47</v>
      </c>
      <c r="L132" s="14">
        <f t="shared" si="89"/>
        <v>1</v>
      </c>
      <c r="M132" s="14">
        <f t="shared" si="89"/>
        <v>60.567796610169488</v>
      </c>
      <c r="N132" s="14">
        <v>50</v>
      </c>
      <c r="O132" s="14">
        <f t="shared" si="90"/>
        <v>63.923728813559322</v>
      </c>
      <c r="P132" s="14">
        <f t="shared" si="90"/>
        <v>57.211864406779668</v>
      </c>
      <c r="Q132" s="14">
        <f t="shared" si="90"/>
        <v>43.788135593220339</v>
      </c>
      <c r="R132" s="14">
        <f t="shared" si="90"/>
        <v>30.364406779661017</v>
      </c>
      <c r="S132">
        <f t="shared" si="91"/>
        <v>59</v>
      </c>
      <c r="T132">
        <f t="shared" si="92"/>
        <v>29.5</v>
      </c>
      <c r="U132">
        <f t="shared" si="93"/>
        <v>88.5</v>
      </c>
      <c r="V132">
        <v>1</v>
      </c>
    </row>
    <row r="133" spans="1:22" x14ac:dyDescent="0.45">
      <c r="A133" t="s">
        <v>205</v>
      </c>
      <c r="B133" t="s">
        <v>179</v>
      </c>
      <c r="C133" s="8" t="s">
        <v>305</v>
      </c>
      <c r="D133" t="s">
        <v>17</v>
      </c>
      <c r="E133">
        <v>16</v>
      </c>
      <c r="F133">
        <v>45</v>
      </c>
      <c r="G133" t="s">
        <v>263</v>
      </c>
      <c r="H133">
        <v>47</v>
      </c>
      <c r="I133">
        <v>52</v>
      </c>
      <c r="J133">
        <v>83</v>
      </c>
      <c r="K133">
        <f>1604-1566</f>
        <v>38</v>
      </c>
      <c r="L133" s="14">
        <f t="shared" si="89"/>
        <v>1</v>
      </c>
      <c r="M133" s="14">
        <f t="shared" si="89"/>
        <v>48.347826086956523</v>
      </c>
      <c r="N133" s="14">
        <v>50</v>
      </c>
      <c r="O133" s="14">
        <f t="shared" si="90"/>
        <v>52.652173913043477</v>
      </c>
      <c r="P133" s="14">
        <f t="shared" si="90"/>
        <v>63.413043478260875</v>
      </c>
      <c r="Q133" s="14">
        <f t="shared" si="90"/>
        <v>100</v>
      </c>
      <c r="R133" s="14">
        <f t="shared" si="90"/>
        <v>33.282608695652172</v>
      </c>
      <c r="S133">
        <f t="shared" si="91"/>
        <v>46</v>
      </c>
      <c r="T133">
        <f t="shared" si="92"/>
        <v>23</v>
      </c>
      <c r="U133">
        <f t="shared" si="93"/>
        <v>69</v>
      </c>
      <c r="V133">
        <v>1</v>
      </c>
    </row>
    <row r="134" spans="1:22" x14ac:dyDescent="0.45">
      <c r="A134" t="s">
        <v>207</v>
      </c>
      <c r="B134" t="s">
        <v>179</v>
      </c>
      <c r="C134" s="8" t="s">
        <v>305</v>
      </c>
      <c r="D134" t="s">
        <v>17</v>
      </c>
      <c r="E134" t="s">
        <v>263</v>
      </c>
      <c r="F134" t="s">
        <v>263</v>
      </c>
      <c r="G134" t="s">
        <v>263</v>
      </c>
      <c r="H134" t="s">
        <v>263</v>
      </c>
      <c r="I134">
        <v>63</v>
      </c>
      <c r="J134">
        <v>60</v>
      </c>
      <c r="K134">
        <f>1521-1461</f>
        <v>60</v>
      </c>
      <c r="L134" s="14">
        <v>50</v>
      </c>
      <c r="M134" s="14">
        <v>50</v>
      </c>
      <c r="N134" s="14">
        <v>50</v>
      </c>
      <c r="O134" s="14">
        <v>50</v>
      </c>
      <c r="P134" s="14">
        <f t="shared" ref="P134:R137" si="94">IF(I134&lt;$T134,1,IF(I134&gt;$U134,100,(((((I134-$T134)/($U134-$T134))*99)+1))))</f>
        <v>55.45</v>
      </c>
      <c r="Q134" s="14">
        <f t="shared" si="94"/>
        <v>50.5</v>
      </c>
      <c r="R134" s="14">
        <f t="shared" si="94"/>
        <v>50.5</v>
      </c>
      <c r="S134">
        <f t="shared" si="91"/>
        <v>60</v>
      </c>
      <c r="T134">
        <f t="shared" si="92"/>
        <v>30</v>
      </c>
      <c r="U134">
        <f t="shared" si="93"/>
        <v>90</v>
      </c>
      <c r="V134">
        <v>1</v>
      </c>
    </row>
    <row r="135" spans="1:22" x14ac:dyDescent="0.45">
      <c r="A135" t="s">
        <v>209</v>
      </c>
      <c r="B135" t="s">
        <v>179</v>
      </c>
      <c r="C135" s="8" t="s">
        <v>305</v>
      </c>
      <c r="D135" t="s">
        <v>17</v>
      </c>
      <c r="E135" t="s">
        <v>263</v>
      </c>
      <c r="F135" t="s">
        <v>263</v>
      </c>
      <c r="G135" t="s">
        <v>263</v>
      </c>
      <c r="H135" t="s">
        <v>263</v>
      </c>
      <c r="I135">
        <v>70</v>
      </c>
      <c r="J135">
        <v>66</v>
      </c>
      <c r="K135">
        <f>1611-1554</f>
        <v>57</v>
      </c>
      <c r="L135" s="14">
        <v>50</v>
      </c>
      <c r="M135" s="14">
        <v>50</v>
      </c>
      <c r="N135" s="14">
        <v>50</v>
      </c>
      <c r="O135" s="14">
        <v>50</v>
      </c>
      <c r="P135" s="14">
        <f t="shared" si="94"/>
        <v>56.499999999999993</v>
      </c>
      <c r="Q135" s="14">
        <f t="shared" si="94"/>
        <v>50.5</v>
      </c>
      <c r="R135" s="14">
        <f t="shared" si="94"/>
        <v>37</v>
      </c>
      <c r="S135">
        <f t="shared" si="91"/>
        <v>66</v>
      </c>
      <c r="T135">
        <f t="shared" si="92"/>
        <v>33</v>
      </c>
      <c r="U135">
        <f t="shared" si="93"/>
        <v>99</v>
      </c>
      <c r="V135">
        <v>1</v>
      </c>
    </row>
    <row r="136" spans="1:22" x14ac:dyDescent="0.45">
      <c r="A136" t="s">
        <v>211</v>
      </c>
      <c r="B136" t="s">
        <v>179</v>
      </c>
      <c r="C136" s="8" t="s">
        <v>305</v>
      </c>
      <c r="D136" t="s">
        <v>17</v>
      </c>
      <c r="E136" t="s">
        <v>263</v>
      </c>
      <c r="F136" t="s">
        <v>263</v>
      </c>
      <c r="G136" t="s">
        <v>263</v>
      </c>
      <c r="H136" t="s">
        <v>263</v>
      </c>
      <c r="I136">
        <v>27</v>
      </c>
      <c r="J136">
        <v>19</v>
      </c>
      <c r="K136">
        <f>1733-1715</f>
        <v>18</v>
      </c>
      <c r="L136" s="14">
        <v>50</v>
      </c>
      <c r="M136" s="14">
        <v>50</v>
      </c>
      <c r="N136" s="14">
        <v>50</v>
      </c>
      <c r="O136" s="14">
        <v>50</v>
      </c>
      <c r="P136" s="14">
        <f t="shared" si="94"/>
        <v>92.18421052631578</v>
      </c>
      <c r="Q136" s="14">
        <f t="shared" si="94"/>
        <v>50.5</v>
      </c>
      <c r="R136" s="14">
        <f t="shared" si="94"/>
        <v>45.289473684210527</v>
      </c>
      <c r="S136">
        <f t="shared" si="91"/>
        <v>19</v>
      </c>
      <c r="T136">
        <f t="shared" si="92"/>
        <v>9.5</v>
      </c>
      <c r="U136">
        <f t="shared" si="93"/>
        <v>28.5</v>
      </c>
      <c r="V136">
        <v>1</v>
      </c>
    </row>
    <row r="137" spans="1:22" x14ac:dyDescent="0.45">
      <c r="A137" t="s">
        <v>213</v>
      </c>
      <c r="B137" t="s">
        <v>179</v>
      </c>
      <c r="C137" s="8" t="s">
        <v>307</v>
      </c>
      <c r="D137" t="s">
        <v>17</v>
      </c>
      <c r="E137">
        <v>46.5</v>
      </c>
      <c r="F137">
        <v>47.5</v>
      </c>
      <c r="G137">
        <v>49.8</v>
      </c>
      <c r="H137">
        <v>55.6</v>
      </c>
      <c r="I137">
        <v>55.8</v>
      </c>
      <c r="J137">
        <v>56.2</v>
      </c>
      <c r="K137">
        <v>59.1</v>
      </c>
      <c r="L137" s="14">
        <f>IF(E137&lt;$T137,1,IF(E137&gt;$U137,100,(((((E137-$T137)/($U137-$T137))*99)+1))))</f>
        <v>9.9919064748201283</v>
      </c>
      <c r="M137" s="14">
        <f>IF(F137&lt;$T137,1,IF(F137&gt;$U137,100,(((((F137-$T137)/($U137-$T137))*99)+1))))</f>
        <v>14.443345323740992</v>
      </c>
      <c r="N137" s="14">
        <f>IF(G137&lt;$T137,1,IF(G137&gt;$U137,100,(((((G137-$T137)/($U137-$T137))*99)+1))))</f>
        <v>24.681654676258969</v>
      </c>
      <c r="O137" s="14">
        <f>IF(H137&lt;$T137,1,IF(H137&gt;$U137,100,(((((H137-$T137)/($U137-$T137))*99)+1))))</f>
        <v>50.5</v>
      </c>
      <c r="P137" s="14">
        <f t="shared" si="94"/>
        <v>51.390287769784159</v>
      </c>
      <c r="Q137" s="14">
        <f t="shared" si="94"/>
        <v>53.170863309352526</v>
      </c>
      <c r="R137" s="14">
        <f t="shared" si="94"/>
        <v>66.080035971223026</v>
      </c>
      <c r="S137">
        <f t="shared" si="91"/>
        <v>55.6</v>
      </c>
      <c r="T137">
        <f>S137*0.8</f>
        <v>44.480000000000004</v>
      </c>
      <c r="U137">
        <f>S137*1.2</f>
        <v>66.72</v>
      </c>
      <c r="V137">
        <v>1</v>
      </c>
    </row>
    <row r="138" spans="1:22" x14ac:dyDescent="0.45">
      <c r="A138" t="s">
        <v>215</v>
      </c>
      <c r="B138" t="s">
        <v>179</v>
      </c>
      <c r="C138" s="8" t="s">
        <v>308</v>
      </c>
      <c r="D138" t="s">
        <v>10</v>
      </c>
      <c r="E138">
        <v>4.0999999999999996</v>
      </c>
      <c r="F138" s="2">
        <v>4.0135135139999996</v>
      </c>
      <c r="G138" s="2">
        <v>2.7</v>
      </c>
      <c r="H138">
        <v>5.3</v>
      </c>
      <c r="I138">
        <v>6</v>
      </c>
      <c r="J138">
        <v>6</v>
      </c>
      <c r="K138">
        <v>4.9000000000000004</v>
      </c>
      <c r="L138" s="14">
        <f t="shared" ref="L138:R138" si="95">101-IF(E138&lt;$T138,1,IF(E138&gt;$U138,100,(((((E138-$T138)/($U138-$T138))*99)+1))))</f>
        <v>66.663265306122469</v>
      </c>
      <c r="M138" s="14">
        <f t="shared" si="95"/>
        <v>68.410645329387762</v>
      </c>
      <c r="N138" s="14">
        <f t="shared" si="95"/>
        <v>94.948979591836732</v>
      </c>
      <c r="O138" s="14">
        <f t="shared" si="95"/>
        <v>42.418367346938787</v>
      </c>
      <c r="P138" s="14">
        <f t="shared" si="95"/>
        <v>28.275510204081641</v>
      </c>
      <c r="Q138" s="14">
        <f t="shared" si="95"/>
        <v>28.275510204081641</v>
      </c>
      <c r="R138" s="14">
        <f t="shared" si="95"/>
        <v>50.5</v>
      </c>
      <c r="S138">
        <f t="shared" si="91"/>
        <v>4.9000000000000004</v>
      </c>
      <c r="T138">
        <f>S138*0.5</f>
        <v>2.4500000000000002</v>
      </c>
      <c r="U138">
        <f>S138*1.5</f>
        <v>7.3500000000000005</v>
      </c>
      <c r="V138">
        <v>1</v>
      </c>
    </row>
    <row r="139" spans="1:22" x14ac:dyDescent="0.45">
      <c r="A139" t="s">
        <v>309</v>
      </c>
      <c r="B139" t="s">
        <v>179</v>
      </c>
      <c r="C139" s="8" t="s">
        <v>310</v>
      </c>
      <c r="D139" t="s">
        <v>17</v>
      </c>
      <c r="E139">
        <v>59.2</v>
      </c>
      <c r="F139">
        <v>60.4</v>
      </c>
      <c r="G139">
        <v>62.7</v>
      </c>
      <c r="H139">
        <v>67.5</v>
      </c>
      <c r="I139">
        <v>68.099999999999994</v>
      </c>
      <c r="J139">
        <v>68.5</v>
      </c>
      <c r="K139">
        <v>70.7</v>
      </c>
      <c r="L139" s="14">
        <f t="shared" ref="L139:R140" si="96">IF(E139&lt;$T139,1,IF(E139&gt;$U139,100,(((((E139-$T139)/($U139-$T139))*99)+1))))</f>
        <v>20.066666666666677</v>
      </c>
      <c r="M139" s="14">
        <f t="shared" si="96"/>
        <v>24.466666666666661</v>
      </c>
      <c r="N139" s="14">
        <f t="shared" si="96"/>
        <v>32.900000000000013</v>
      </c>
      <c r="O139" s="14">
        <f t="shared" si="96"/>
        <v>50.5</v>
      </c>
      <c r="P139" s="14">
        <f t="shared" si="96"/>
        <v>52.699999999999982</v>
      </c>
      <c r="Q139" s="14">
        <f t="shared" si="96"/>
        <v>54.166666666666671</v>
      </c>
      <c r="R139" s="14">
        <f t="shared" si="96"/>
        <v>62.233333333333341</v>
      </c>
      <c r="S139">
        <f t="shared" si="91"/>
        <v>67.5</v>
      </c>
      <c r="T139">
        <f>S139*0.8</f>
        <v>54</v>
      </c>
      <c r="U139">
        <f>S139*1.2</f>
        <v>81</v>
      </c>
      <c r="V139">
        <v>1</v>
      </c>
    </row>
    <row r="140" spans="1:22" x14ac:dyDescent="0.45">
      <c r="A140" t="s">
        <v>219</v>
      </c>
      <c r="B140" t="s">
        <v>179</v>
      </c>
      <c r="C140" s="8" t="s">
        <v>311</v>
      </c>
      <c r="D140" t="s">
        <v>17</v>
      </c>
      <c r="E140">
        <v>10.3</v>
      </c>
      <c r="F140">
        <v>10.9</v>
      </c>
      <c r="G140">
        <v>12.8</v>
      </c>
      <c r="H140">
        <v>13.6</v>
      </c>
      <c r="I140">
        <v>13.6</v>
      </c>
      <c r="J140">
        <v>12.2</v>
      </c>
      <c r="K140">
        <v>13</v>
      </c>
      <c r="L140" s="14">
        <f t="shared" si="96"/>
        <v>31.164062499999993</v>
      </c>
      <c r="M140" s="14">
        <f t="shared" si="96"/>
        <v>35.804687499999993</v>
      </c>
      <c r="N140" s="14">
        <f t="shared" si="96"/>
        <v>50.499999999999993</v>
      </c>
      <c r="O140" s="14">
        <f t="shared" si="96"/>
        <v>56.687499999999986</v>
      </c>
      <c r="P140" s="14">
        <f t="shared" si="96"/>
        <v>56.687499999999986</v>
      </c>
      <c r="Q140" s="14">
        <f t="shared" si="96"/>
        <v>45.859374999999986</v>
      </c>
      <c r="R140" s="14">
        <f t="shared" si="96"/>
        <v>52.046874999999986</v>
      </c>
      <c r="S140">
        <f t="shared" si="91"/>
        <v>12.8</v>
      </c>
      <c r="T140">
        <f>S140*0.5</f>
        <v>6.4</v>
      </c>
      <c r="U140">
        <f>S140*1.5</f>
        <v>19.200000000000003</v>
      </c>
      <c r="V140">
        <v>1</v>
      </c>
    </row>
    <row r="141" spans="1:22" x14ac:dyDescent="0.45">
      <c r="A141" t="s">
        <v>221</v>
      </c>
      <c r="B141" t="s">
        <v>179</v>
      </c>
      <c r="C141" s="8" t="s">
        <v>312</v>
      </c>
      <c r="D141" t="s">
        <v>17</v>
      </c>
      <c r="E141">
        <v>89.75</v>
      </c>
      <c r="F141">
        <v>92.11</v>
      </c>
      <c r="G141">
        <v>94.21</v>
      </c>
      <c r="H141">
        <v>95.62</v>
      </c>
      <c r="I141">
        <v>95.62</v>
      </c>
      <c r="J141">
        <v>98.11</v>
      </c>
      <c r="K141">
        <v>98.45</v>
      </c>
      <c r="L141">
        <f t="shared" ref="L141:R143" si="97">ROUNDDOWN(E141,0)</f>
        <v>89</v>
      </c>
      <c r="M141">
        <f t="shared" si="97"/>
        <v>92</v>
      </c>
      <c r="N141">
        <f t="shared" si="97"/>
        <v>94</v>
      </c>
      <c r="O141">
        <f t="shared" si="97"/>
        <v>95</v>
      </c>
      <c r="P141">
        <f t="shared" si="97"/>
        <v>95</v>
      </c>
      <c r="Q141">
        <f t="shared" si="97"/>
        <v>98</v>
      </c>
      <c r="R141">
        <f t="shared" si="97"/>
        <v>98</v>
      </c>
      <c r="V141">
        <v>0.66</v>
      </c>
    </row>
    <row r="142" spans="1:22" x14ac:dyDescent="0.45">
      <c r="A142" t="s">
        <v>224</v>
      </c>
      <c r="B142" t="s">
        <v>179</v>
      </c>
      <c r="C142" s="8" t="s">
        <v>313</v>
      </c>
      <c r="D142" t="s">
        <v>17</v>
      </c>
      <c r="E142">
        <v>84.32</v>
      </c>
      <c r="F142">
        <v>86.17</v>
      </c>
      <c r="G142">
        <v>93.15</v>
      </c>
      <c r="H142">
        <v>94.93</v>
      </c>
      <c r="I142">
        <v>96.03</v>
      </c>
      <c r="J142">
        <v>96.83</v>
      </c>
      <c r="K142">
        <v>97.77</v>
      </c>
      <c r="L142">
        <f t="shared" si="97"/>
        <v>84</v>
      </c>
      <c r="M142">
        <f t="shared" si="97"/>
        <v>86</v>
      </c>
      <c r="N142">
        <f t="shared" si="97"/>
        <v>93</v>
      </c>
      <c r="O142">
        <f t="shared" si="97"/>
        <v>94</v>
      </c>
      <c r="P142">
        <f t="shared" si="97"/>
        <v>96</v>
      </c>
      <c r="Q142">
        <f t="shared" si="97"/>
        <v>96</v>
      </c>
      <c r="R142">
        <f t="shared" si="97"/>
        <v>97</v>
      </c>
      <c r="V142">
        <v>1</v>
      </c>
    </row>
    <row r="143" spans="1:22" x14ac:dyDescent="0.45">
      <c r="A143" t="s">
        <v>226</v>
      </c>
      <c r="B143" t="s">
        <v>179</v>
      </c>
      <c r="C143" s="8" t="s">
        <v>314</v>
      </c>
      <c r="D143" t="s">
        <v>17</v>
      </c>
      <c r="E143">
        <v>48.6</v>
      </c>
      <c r="F143">
        <v>56.29</v>
      </c>
      <c r="G143">
        <v>73.3</v>
      </c>
      <c r="H143">
        <v>78.44</v>
      </c>
      <c r="I143">
        <v>82.06</v>
      </c>
      <c r="J143">
        <v>78.75</v>
      </c>
      <c r="K143">
        <v>81.2</v>
      </c>
      <c r="L143">
        <f t="shared" si="97"/>
        <v>48</v>
      </c>
      <c r="M143">
        <f t="shared" si="97"/>
        <v>56</v>
      </c>
      <c r="N143">
        <f t="shared" si="97"/>
        <v>73</v>
      </c>
      <c r="O143">
        <f t="shared" si="97"/>
        <v>78</v>
      </c>
      <c r="P143">
        <f t="shared" si="97"/>
        <v>82</v>
      </c>
      <c r="Q143">
        <f t="shared" si="97"/>
        <v>78</v>
      </c>
      <c r="R143">
        <f t="shared" si="97"/>
        <v>81</v>
      </c>
      <c r="V143">
        <v>1</v>
      </c>
    </row>
    <row r="144" spans="1:22" x14ac:dyDescent="0.45">
      <c r="A144" t="s">
        <v>228</v>
      </c>
      <c r="B144" t="s">
        <v>179</v>
      </c>
      <c r="C144" s="8" t="s">
        <v>100</v>
      </c>
      <c r="D144" t="s">
        <v>17</v>
      </c>
      <c r="E144">
        <f>K144/2.128</f>
        <v>115.74248120300751</v>
      </c>
      <c r="F144">
        <f t="shared" ref="F144:H145" si="98">E144-(($E144-$I144)/4)</f>
        <v>128.29944850333379</v>
      </c>
      <c r="G144">
        <f t="shared" si="98"/>
        <v>140.85641580366007</v>
      </c>
      <c r="H144">
        <f t="shared" si="98"/>
        <v>153.41338310398635</v>
      </c>
      <c r="I144">
        <f>K144/1.484</f>
        <v>165.97035040431268</v>
      </c>
      <c r="J144" s="18">
        <f>K144-((K144-I144)/2)</f>
        <v>206.13517520215635</v>
      </c>
      <c r="K144">
        <v>246.3</v>
      </c>
      <c r="L144" s="14">
        <f t="shared" ref="L144:R149" si="99">IF(E144&lt;$T144,1,IF(E144&gt;$U144,100,(((((E144-$T144)/($U144-$T144))*99)+1))))</f>
        <v>69.981320488721792</v>
      </c>
      <c r="M144" s="14">
        <f t="shared" si="99"/>
        <v>85.520567522875567</v>
      </c>
      <c r="N144" s="14">
        <f t="shared" si="99"/>
        <v>100</v>
      </c>
      <c r="O144" s="14">
        <f t="shared" si="99"/>
        <v>100</v>
      </c>
      <c r="P144" s="14">
        <f t="shared" si="99"/>
        <v>100</v>
      </c>
      <c r="Q144" s="14">
        <f t="shared" si="99"/>
        <v>100</v>
      </c>
      <c r="R144" s="14">
        <f t="shared" si="99"/>
        <v>100</v>
      </c>
      <c r="S144">
        <v>100</v>
      </c>
      <c r="T144">
        <v>60</v>
      </c>
      <c r="U144">
        <v>140</v>
      </c>
      <c r="V144">
        <v>0.66</v>
      </c>
    </row>
    <row r="145" spans="1:22" x14ac:dyDescent="0.45">
      <c r="A145" t="s">
        <v>229</v>
      </c>
      <c r="B145" t="s">
        <v>179</v>
      </c>
      <c r="C145" s="8" t="s">
        <v>280</v>
      </c>
      <c r="D145" t="s">
        <v>17</v>
      </c>
      <c r="E145">
        <f>K145/1.11</f>
        <v>54.054054054054049</v>
      </c>
      <c r="F145">
        <f t="shared" si="98"/>
        <v>54.96361746361746</v>
      </c>
      <c r="G145">
        <f t="shared" si="98"/>
        <v>55.873180873180871</v>
      </c>
      <c r="H145">
        <f t="shared" si="98"/>
        <v>56.782744282744282</v>
      </c>
      <c r="I145">
        <f>K145/1.04</f>
        <v>57.692307692307693</v>
      </c>
      <c r="J145" s="18">
        <f>K145-((K145-I145)/2)</f>
        <v>58.846153846153847</v>
      </c>
      <c r="K145">
        <v>60</v>
      </c>
      <c r="L145" s="14">
        <f t="shared" si="99"/>
        <v>1</v>
      </c>
      <c r="M145" s="14">
        <f t="shared" si="99"/>
        <v>1</v>
      </c>
      <c r="N145" s="14">
        <f t="shared" si="99"/>
        <v>1</v>
      </c>
      <c r="O145" s="14">
        <f t="shared" si="99"/>
        <v>1</v>
      </c>
      <c r="P145" s="14">
        <f t="shared" si="99"/>
        <v>1</v>
      </c>
      <c r="Q145" s="14">
        <f t="shared" si="99"/>
        <v>1</v>
      </c>
      <c r="R145" s="14">
        <f t="shared" si="99"/>
        <v>1</v>
      </c>
      <c r="S145">
        <v>100</v>
      </c>
      <c r="T145">
        <v>60</v>
      </c>
      <c r="U145">
        <v>140</v>
      </c>
      <c r="V145">
        <v>0.66</v>
      </c>
    </row>
    <row r="146" spans="1:22" x14ac:dyDescent="0.45">
      <c r="A146" t="s">
        <v>230</v>
      </c>
      <c r="B146" t="s">
        <v>179</v>
      </c>
      <c r="C146" s="8" t="s">
        <v>231</v>
      </c>
      <c r="D146" t="s">
        <v>17</v>
      </c>
      <c r="E146">
        <v>1722698</v>
      </c>
      <c r="F146">
        <v>1719753</v>
      </c>
      <c r="G146">
        <v>1703823</v>
      </c>
      <c r="H146">
        <v>1681473</v>
      </c>
      <c r="I146">
        <v>1671723</v>
      </c>
      <c r="J146">
        <v>1678613</v>
      </c>
      <c r="K146">
        <v>1685715</v>
      </c>
      <c r="L146" s="14">
        <f t="shared" si="99"/>
        <v>55.929916978848738</v>
      </c>
      <c r="M146" s="14">
        <f t="shared" si="99"/>
        <v>55.49752627223463</v>
      </c>
      <c r="N146" s="14">
        <f t="shared" si="99"/>
        <v>53.158652263282931</v>
      </c>
      <c r="O146" s="14">
        <f t="shared" si="99"/>
        <v>49.87718119610966</v>
      </c>
      <c r="P146" s="14">
        <f t="shared" si="99"/>
        <v>48.445666972175012</v>
      </c>
      <c r="Q146" s="14">
        <f t="shared" si="99"/>
        <v>49.457270357088831</v>
      </c>
      <c r="R146" s="14">
        <f t="shared" si="99"/>
        <v>50.5</v>
      </c>
      <c r="S146">
        <f t="shared" ref="S146:S151" si="100">MEDIAN(E146:K146)</f>
        <v>1685715</v>
      </c>
      <c r="T146">
        <f>S146*0.8</f>
        <v>1348572</v>
      </c>
      <c r="U146">
        <f>S146*1.2</f>
        <v>2022858</v>
      </c>
      <c r="V146">
        <v>1</v>
      </c>
    </row>
    <row r="147" spans="1:22" x14ac:dyDescent="0.45">
      <c r="A147" t="s">
        <v>232</v>
      </c>
      <c r="B147" t="s">
        <v>233</v>
      </c>
      <c r="C147" t="s">
        <v>16</v>
      </c>
      <c r="D147" t="s">
        <v>17</v>
      </c>
      <c r="E147">
        <v>215.2</v>
      </c>
      <c r="F147">
        <v>217</v>
      </c>
      <c r="G147">
        <v>212.9</v>
      </c>
      <c r="H147">
        <v>213.2</v>
      </c>
      <c r="I147">
        <v>210</v>
      </c>
      <c r="J147">
        <v>210.4</v>
      </c>
      <c r="K147">
        <v>213.4</v>
      </c>
      <c r="L147" s="14">
        <f t="shared" si="99"/>
        <v>51.428705440900565</v>
      </c>
      <c r="M147" s="14">
        <f t="shared" si="99"/>
        <v>52.26454033771109</v>
      </c>
      <c r="N147" s="14">
        <f t="shared" si="99"/>
        <v>50.360694183864929</v>
      </c>
      <c r="O147" s="14">
        <f t="shared" si="99"/>
        <v>50.500000000000014</v>
      </c>
      <c r="P147" s="14">
        <f t="shared" si="99"/>
        <v>49.014071294559109</v>
      </c>
      <c r="Q147" s="14">
        <f t="shared" si="99"/>
        <v>49.199812382739225</v>
      </c>
      <c r="R147" s="14">
        <f t="shared" si="99"/>
        <v>50.592870544090069</v>
      </c>
      <c r="S147">
        <f t="shared" si="100"/>
        <v>213.2</v>
      </c>
      <c r="T147">
        <f>S147*0.5</f>
        <v>106.6</v>
      </c>
      <c r="U147">
        <f>S147*1.5</f>
        <v>319.79999999999995</v>
      </c>
      <c r="V147">
        <v>0.66</v>
      </c>
    </row>
    <row r="148" spans="1:22" x14ac:dyDescent="0.45">
      <c r="A148" t="s">
        <v>234</v>
      </c>
      <c r="B148" t="s">
        <v>233</v>
      </c>
      <c r="C148" s="8" t="s">
        <v>235</v>
      </c>
      <c r="D148" t="s">
        <v>17</v>
      </c>
      <c r="E148">
        <v>1567173</v>
      </c>
      <c r="F148">
        <v>1569316</v>
      </c>
      <c r="G148">
        <v>1021529</v>
      </c>
      <c r="H148">
        <v>1016462</v>
      </c>
      <c r="I148">
        <v>1341751</v>
      </c>
      <c r="J148" s="2">
        <f>1498900</f>
        <v>1498900</v>
      </c>
      <c r="K148" s="2">
        <v>1496700</v>
      </c>
      <c r="L148" s="14">
        <f t="shared" si="99"/>
        <v>62.153683102826221</v>
      </c>
      <c r="M148" s="14">
        <f t="shared" si="99"/>
        <v>62.508057726999397</v>
      </c>
      <c r="N148" s="14">
        <f t="shared" si="99"/>
        <v>1</v>
      </c>
      <c r="O148" s="14">
        <f t="shared" si="99"/>
        <v>1</v>
      </c>
      <c r="P148" s="14">
        <f t="shared" si="99"/>
        <v>24.877044497895369</v>
      </c>
      <c r="Q148" s="14">
        <f t="shared" si="99"/>
        <v>50.863800360793746</v>
      </c>
      <c r="R148" s="14">
        <f t="shared" si="99"/>
        <v>50.5</v>
      </c>
      <c r="S148">
        <f t="shared" si="100"/>
        <v>1496700</v>
      </c>
      <c r="T148">
        <f>S148*0.8</f>
        <v>1197360</v>
      </c>
      <c r="U148">
        <f>S148*1.2</f>
        <v>1796040</v>
      </c>
      <c r="V148">
        <v>1</v>
      </c>
    </row>
    <row r="149" spans="1:22" x14ac:dyDescent="0.45">
      <c r="A149" t="s">
        <v>236</v>
      </c>
      <c r="B149" t="s">
        <v>233</v>
      </c>
      <c r="C149" s="8" t="s">
        <v>235</v>
      </c>
      <c r="D149" t="s">
        <v>17</v>
      </c>
      <c r="E149">
        <v>5877295.2999999998</v>
      </c>
      <c r="F149">
        <v>5878376</v>
      </c>
      <c r="G149">
        <v>3812172.7</v>
      </c>
      <c r="H149">
        <v>3794554.6</v>
      </c>
      <c r="I149">
        <v>5026856.9000000004</v>
      </c>
      <c r="J149">
        <v>5445056</v>
      </c>
      <c r="K149" s="2">
        <v>5618300</v>
      </c>
      <c r="L149" s="14">
        <f t="shared" si="99"/>
        <v>70.147038845881468</v>
      </c>
      <c r="M149" s="14">
        <f t="shared" si="99"/>
        <v>70.196161067948609</v>
      </c>
      <c r="N149" s="14">
        <f t="shared" si="99"/>
        <v>1</v>
      </c>
      <c r="O149" s="14">
        <f t="shared" si="99"/>
        <v>1</v>
      </c>
      <c r="P149" s="14">
        <f t="shared" si="99"/>
        <v>31.49114549969736</v>
      </c>
      <c r="Q149" s="14">
        <f t="shared" si="99"/>
        <v>50.5</v>
      </c>
      <c r="R149" s="14">
        <f t="shared" si="99"/>
        <v>58.374646284629584</v>
      </c>
      <c r="S149">
        <f t="shared" si="100"/>
        <v>5445056</v>
      </c>
      <c r="T149">
        <f>S149*0.8</f>
        <v>4356044.7999999998</v>
      </c>
      <c r="U149">
        <f>S149*1.2</f>
        <v>6534067.2000000002</v>
      </c>
      <c r="V149">
        <v>1</v>
      </c>
    </row>
    <row r="150" spans="1:22" x14ac:dyDescent="0.45">
      <c r="A150" t="s">
        <v>315</v>
      </c>
      <c r="B150" t="s">
        <v>233</v>
      </c>
      <c r="C150" s="16" t="s">
        <v>238</v>
      </c>
      <c r="D150" t="s">
        <v>10</v>
      </c>
      <c r="E150">
        <v>659513</v>
      </c>
      <c r="F150">
        <v>684197</v>
      </c>
      <c r="G150">
        <v>690560</v>
      </c>
      <c r="H150">
        <v>702865</v>
      </c>
      <c r="I150">
        <v>710752</v>
      </c>
      <c r="J150">
        <v>712555</v>
      </c>
      <c r="K150">
        <v>723372</v>
      </c>
      <c r="L150" s="14">
        <f t="shared" ref="L150:R150" si="101">101-IF(E150&lt;$T150,1,IF(E150&gt;$U150,100,(((((E150-$T150)/($U150-$T150))*99)+1))))</f>
        <v>65.76554886073427</v>
      </c>
      <c r="M150" s="14">
        <f t="shared" si="101"/>
        <v>57.073566758908179</v>
      </c>
      <c r="N150" s="14">
        <f t="shared" si="101"/>
        <v>54.832962233145764</v>
      </c>
      <c r="O150" s="14">
        <f t="shared" si="101"/>
        <v>50.5</v>
      </c>
      <c r="P150" s="14">
        <f t="shared" si="101"/>
        <v>47.722749034309579</v>
      </c>
      <c r="Q150" s="14">
        <f t="shared" si="101"/>
        <v>47.087858265812066</v>
      </c>
      <c r="R150" s="14">
        <f t="shared" si="101"/>
        <v>43.278865785036956</v>
      </c>
      <c r="S150">
        <f t="shared" si="100"/>
        <v>702865</v>
      </c>
      <c r="T150">
        <f>S150*0.8</f>
        <v>562292</v>
      </c>
      <c r="U150">
        <f>S150*1.2</f>
        <v>843438</v>
      </c>
      <c r="V150">
        <v>0.66</v>
      </c>
    </row>
    <row r="151" spans="1:22" x14ac:dyDescent="0.45">
      <c r="A151" t="s">
        <v>316</v>
      </c>
      <c r="B151" t="s">
        <v>233</v>
      </c>
      <c r="C151" s="3" t="s">
        <v>240</v>
      </c>
      <c r="D151" t="s">
        <v>17</v>
      </c>
      <c r="E151">
        <v>199</v>
      </c>
      <c r="F151">
        <v>199</v>
      </c>
      <c r="G151">
        <v>199</v>
      </c>
      <c r="H151">
        <v>256</v>
      </c>
      <c r="I151">
        <v>256</v>
      </c>
      <c r="J151">
        <v>242</v>
      </c>
      <c r="K151">
        <v>247</v>
      </c>
      <c r="L151" s="14">
        <f t="shared" ref="L151:R151" si="102">IF(E151&lt;$T151,1,IF(E151&gt;$U151,100,(((((E151-$T151)/($U151-$T151))*99)+1))))</f>
        <v>32.909090909090907</v>
      </c>
      <c r="M151" s="14">
        <f t="shared" si="102"/>
        <v>32.909090909090907</v>
      </c>
      <c r="N151" s="14">
        <f t="shared" si="102"/>
        <v>32.909090909090907</v>
      </c>
      <c r="O151" s="14">
        <f t="shared" si="102"/>
        <v>56.227272727272734</v>
      </c>
      <c r="P151" s="14">
        <f t="shared" si="102"/>
        <v>56.227272727272734</v>
      </c>
      <c r="Q151" s="14">
        <f t="shared" si="102"/>
        <v>50.5</v>
      </c>
      <c r="R151" s="14">
        <f t="shared" si="102"/>
        <v>52.545454545454547</v>
      </c>
      <c r="S151">
        <f t="shared" si="100"/>
        <v>242</v>
      </c>
      <c r="T151">
        <f>S151*0.5</f>
        <v>121</v>
      </c>
      <c r="U151">
        <f>S151*1.5</f>
        <v>363</v>
      </c>
      <c r="V151">
        <v>1</v>
      </c>
    </row>
    <row r="152" spans="1:22" x14ac:dyDescent="0.45">
      <c r="A152" t="s">
        <v>241</v>
      </c>
      <c r="B152" t="s">
        <v>233</v>
      </c>
      <c r="C152" t="s">
        <v>55</v>
      </c>
      <c r="D152" t="s">
        <v>17</v>
      </c>
      <c r="E152">
        <f>F152</f>
        <v>26.96</v>
      </c>
      <c r="F152">
        <v>26.96</v>
      </c>
      <c r="G152">
        <v>29.5</v>
      </c>
      <c r="H152">
        <v>24.9</v>
      </c>
      <c r="I152">
        <f>H152</f>
        <v>24.9</v>
      </c>
      <c r="J152">
        <v>29.5</v>
      </c>
      <c r="K152">
        <v>28</v>
      </c>
      <c r="L152">
        <f t="shared" ref="L152:R156" si="103">E152</f>
        <v>26.96</v>
      </c>
      <c r="M152">
        <f t="shared" si="103"/>
        <v>26.96</v>
      </c>
      <c r="N152">
        <f t="shared" si="103"/>
        <v>29.5</v>
      </c>
      <c r="O152">
        <f t="shared" si="103"/>
        <v>24.9</v>
      </c>
      <c r="P152">
        <f t="shared" si="103"/>
        <v>24.9</v>
      </c>
      <c r="Q152">
        <f t="shared" si="103"/>
        <v>29.5</v>
      </c>
      <c r="R152">
        <f t="shared" si="103"/>
        <v>28</v>
      </c>
      <c r="V152">
        <v>0.66</v>
      </c>
    </row>
    <row r="153" spans="1:22" x14ac:dyDescent="0.45">
      <c r="A153" t="s">
        <v>242</v>
      </c>
      <c r="B153" t="s">
        <v>233</v>
      </c>
      <c r="C153" t="s">
        <v>55</v>
      </c>
      <c r="D153" t="s">
        <v>17</v>
      </c>
      <c r="E153">
        <f>F153</f>
        <v>38.619999999999997</v>
      </c>
      <c r="F153">
        <v>38.619999999999997</v>
      </c>
      <c r="G153">
        <v>39.5</v>
      </c>
      <c r="H153">
        <v>37.299999999999997</v>
      </c>
      <c r="I153">
        <f>H153</f>
        <v>37.299999999999997</v>
      </c>
      <c r="J153">
        <v>36.200000000000003</v>
      </c>
      <c r="K153">
        <v>40.799999999999997</v>
      </c>
      <c r="L153">
        <f t="shared" si="103"/>
        <v>38.619999999999997</v>
      </c>
      <c r="M153">
        <f t="shared" si="103"/>
        <v>38.619999999999997</v>
      </c>
      <c r="N153">
        <f t="shared" si="103"/>
        <v>39.5</v>
      </c>
      <c r="O153">
        <f t="shared" si="103"/>
        <v>37.299999999999997</v>
      </c>
      <c r="P153">
        <f t="shared" si="103"/>
        <v>37.299999999999997</v>
      </c>
      <c r="Q153">
        <f t="shared" si="103"/>
        <v>36.200000000000003</v>
      </c>
      <c r="R153">
        <f t="shared" si="103"/>
        <v>40.799999999999997</v>
      </c>
      <c r="V153">
        <v>1</v>
      </c>
    </row>
    <row r="154" spans="1:22" x14ac:dyDescent="0.45">
      <c r="A154" t="s">
        <v>243</v>
      </c>
      <c r="B154" t="s">
        <v>233</v>
      </c>
      <c r="C154" t="s">
        <v>55</v>
      </c>
      <c r="D154" t="s">
        <v>17</v>
      </c>
      <c r="E154">
        <f>F154</f>
        <v>38.619999999999997</v>
      </c>
      <c r="F154">
        <v>38.619999999999997</v>
      </c>
      <c r="G154">
        <v>45.2</v>
      </c>
      <c r="H154">
        <v>42.9</v>
      </c>
      <c r="I154">
        <f>H154</f>
        <v>42.9</v>
      </c>
      <c r="J154">
        <v>45.6</v>
      </c>
      <c r="K154">
        <v>46.8</v>
      </c>
      <c r="L154">
        <f t="shared" si="103"/>
        <v>38.619999999999997</v>
      </c>
      <c r="M154">
        <f t="shared" si="103"/>
        <v>38.619999999999997</v>
      </c>
      <c r="N154">
        <f t="shared" si="103"/>
        <v>45.2</v>
      </c>
      <c r="O154">
        <f t="shared" si="103"/>
        <v>42.9</v>
      </c>
      <c r="P154">
        <f t="shared" si="103"/>
        <v>42.9</v>
      </c>
      <c r="Q154">
        <f t="shared" si="103"/>
        <v>45.6</v>
      </c>
      <c r="R154">
        <f t="shared" si="103"/>
        <v>46.8</v>
      </c>
      <c r="V154">
        <v>1</v>
      </c>
    </row>
    <row r="155" spans="1:22" x14ac:dyDescent="0.45">
      <c r="A155" t="s">
        <v>244</v>
      </c>
      <c r="B155" t="s">
        <v>233</v>
      </c>
      <c r="C155" t="s">
        <v>55</v>
      </c>
      <c r="D155" t="s">
        <v>17</v>
      </c>
      <c r="E155">
        <f>F155</f>
        <v>50.41</v>
      </c>
      <c r="F155">
        <v>50.41</v>
      </c>
      <c r="G155">
        <v>52.3</v>
      </c>
      <c r="H155">
        <v>47.4</v>
      </c>
      <c r="I155">
        <f>H155</f>
        <v>47.4</v>
      </c>
      <c r="J155">
        <v>48.6</v>
      </c>
      <c r="K155">
        <v>50.5</v>
      </c>
      <c r="L155">
        <f t="shared" si="103"/>
        <v>50.41</v>
      </c>
      <c r="M155">
        <f t="shared" si="103"/>
        <v>50.41</v>
      </c>
      <c r="N155">
        <f t="shared" si="103"/>
        <v>52.3</v>
      </c>
      <c r="O155">
        <f t="shared" si="103"/>
        <v>47.4</v>
      </c>
      <c r="P155">
        <f t="shared" si="103"/>
        <v>47.4</v>
      </c>
      <c r="Q155">
        <f t="shared" si="103"/>
        <v>48.6</v>
      </c>
      <c r="R155">
        <f t="shared" si="103"/>
        <v>50.5</v>
      </c>
      <c r="V155">
        <v>1</v>
      </c>
    </row>
    <row r="156" spans="1:22" x14ac:dyDescent="0.45">
      <c r="A156" t="s">
        <v>245</v>
      </c>
      <c r="B156" t="s">
        <v>233</v>
      </c>
      <c r="C156" t="s">
        <v>55</v>
      </c>
      <c r="D156" t="s">
        <v>17</v>
      </c>
      <c r="E156">
        <f>F156</f>
        <v>72.09</v>
      </c>
      <c r="F156">
        <v>72.09</v>
      </c>
      <c r="G156">
        <v>72.7</v>
      </c>
      <c r="H156">
        <v>72.8</v>
      </c>
      <c r="I156">
        <f>H156</f>
        <v>72.8</v>
      </c>
      <c r="J156">
        <v>72.7</v>
      </c>
      <c r="K156">
        <v>72.400000000000006</v>
      </c>
      <c r="L156">
        <f t="shared" si="103"/>
        <v>72.09</v>
      </c>
      <c r="M156">
        <f t="shared" si="103"/>
        <v>72.09</v>
      </c>
      <c r="N156">
        <f t="shared" si="103"/>
        <v>72.7</v>
      </c>
      <c r="O156">
        <f t="shared" si="103"/>
        <v>72.8</v>
      </c>
      <c r="P156">
        <f t="shared" si="103"/>
        <v>72.8</v>
      </c>
      <c r="Q156">
        <f t="shared" si="103"/>
        <v>72.7</v>
      </c>
      <c r="R156">
        <f t="shared" si="103"/>
        <v>72.400000000000006</v>
      </c>
      <c r="V156">
        <v>1</v>
      </c>
    </row>
    <row r="157" spans="1:22" x14ac:dyDescent="0.45">
      <c r="A157" t="s">
        <v>317</v>
      </c>
      <c r="B157" t="s">
        <v>233</v>
      </c>
      <c r="C157" s="11" t="s">
        <v>247</v>
      </c>
      <c r="D157" t="s">
        <v>17</v>
      </c>
      <c r="E157">
        <f>1907/662.160337552743</f>
        <v>2.8799671195167313</v>
      </c>
      <c r="F157">
        <f>3243/738.29889298893</f>
        <v>4.392529950669485</v>
      </c>
      <c r="G157">
        <f>4857/863.533101045296</f>
        <v>5.6245672506597169</v>
      </c>
      <c r="H157">
        <f>7251/1123.13289036545</f>
        <v>6.4560481330402819</v>
      </c>
      <c r="I157">
        <f>10378/1504.71794871795</f>
        <v>6.8969736214300257</v>
      </c>
      <c r="J157">
        <f>13366/2466.994736</f>
        <v>5.4179280583596672</v>
      </c>
      <c r="K157" s="2">
        <f>(J157*(1+AVERAGE(1-E157/F157,1-F157/G157,1-G157/H157,1-H157/I157,1-I157/J157)))</f>
        <v>5.9414352365659591</v>
      </c>
      <c r="L157" s="14">
        <f t="shared" ref="L157:R157" si="104">IF(E157&lt;$T157,1,IF(E157&gt;$U157,100,(((((E157-$T157)/($U157-$T157))*99)+1))))</f>
        <v>2.1913211498563703</v>
      </c>
      <c r="M157" s="14">
        <f t="shared" si="104"/>
        <v>28.814475183006007</v>
      </c>
      <c r="N157" s="14">
        <f t="shared" si="104"/>
        <v>50.499999999999993</v>
      </c>
      <c r="O157" s="14">
        <f t="shared" si="104"/>
        <v>65.13518946209075</v>
      </c>
      <c r="P157" s="14">
        <f t="shared" si="104"/>
        <v>72.896075127643883</v>
      </c>
      <c r="Q157" s="14">
        <f t="shared" si="104"/>
        <v>46.862870399441753</v>
      </c>
      <c r="R157" s="14">
        <f t="shared" si="104"/>
        <v>56.077305632009015</v>
      </c>
      <c r="S157">
        <f>MEDIAN(E157:K157)</f>
        <v>5.6245672506597169</v>
      </c>
      <c r="T157">
        <f>S157*0.5</f>
        <v>2.8122836253298584</v>
      </c>
      <c r="U157">
        <f>S157*1.5</f>
        <v>8.4368508759895757</v>
      </c>
      <c r="V157">
        <v>1</v>
      </c>
    </row>
    <row r="158" spans="1:22" x14ac:dyDescent="0.45">
      <c r="A158" t="s">
        <v>318</v>
      </c>
      <c r="B158" t="s">
        <v>233</v>
      </c>
      <c r="C158" t="s">
        <v>16</v>
      </c>
      <c r="D158" t="s">
        <v>10</v>
      </c>
      <c r="E158">
        <f>3745/Lakosságszám!C3</f>
        <v>2.1739155673252073</v>
      </c>
      <c r="F158">
        <f>3811/Lakosságszám!D3</f>
        <v>2.2160159046095576</v>
      </c>
      <c r="G158">
        <f>2955/Lakosságszám!E3</f>
        <v>1.7343350805805531</v>
      </c>
      <c r="H158">
        <f>2997/Lakosságszám!F3</f>
        <v>1.7823658185412434</v>
      </c>
      <c r="I158">
        <f>3132/Lakosságszám!G3</f>
        <v>1.8735161267745912</v>
      </c>
      <c r="J158">
        <f>3094/Lakosságszám!H3</f>
        <v>1.8431883942278535</v>
      </c>
      <c r="K158">
        <f>2945/Lakosságszám!I3</f>
        <v>1.7470331580367975</v>
      </c>
      <c r="L158" s="14">
        <f t="shared" ref="L158:R158" si="105">101-IF(E158&lt;$T158,1,IF(E158&gt;$U158,100,(((((E158-$T158)/($U158-$T158))*99)+1))))</f>
        <v>6.0905540649382743</v>
      </c>
      <c r="M158" s="14">
        <f t="shared" si="105"/>
        <v>1</v>
      </c>
      <c r="N158" s="14">
        <f t="shared" si="105"/>
        <v>65.116625849032133</v>
      </c>
      <c r="O158" s="14">
        <f t="shared" si="105"/>
        <v>58.667145327942578</v>
      </c>
      <c r="P158" s="14">
        <f t="shared" si="105"/>
        <v>46.427646989952947</v>
      </c>
      <c r="Q158" s="14">
        <f t="shared" si="105"/>
        <v>50.5</v>
      </c>
      <c r="R158" s="14">
        <f t="shared" si="105"/>
        <v>63.4115510014135</v>
      </c>
      <c r="S158">
        <f>MEDIAN(E158:K158)</f>
        <v>1.8431883942278535</v>
      </c>
      <c r="T158">
        <f>S158*0.8</f>
        <v>1.474550715382283</v>
      </c>
      <c r="U158">
        <f>S158*1.2</f>
        <v>2.211826073073424</v>
      </c>
      <c r="V158">
        <v>1</v>
      </c>
    </row>
    <row r="159" spans="1:22" x14ac:dyDescent="0.45">
      <c r="A159" t="s">
        <v>249</v>
      </c>
      <c r="B159" t="s">
        <v>233</v>
      </c>
      <c r="C159" t="s">
        <v>250</v>
      </c>
      <c r="D159" t="s">
        <v>17</v>
      </c>
      <c r="E159">
        <v>507</v>
      </c>
      <c r="F159">
        <v>898</v>
      </c>
      <c r="G159">
        <v>965</v>
      </c>
      <c r="H159">
        <v>1072</v>
      </c>
      <c r="I159">
        <v>1461</v>
      </c>
      <c r="J159">
        <v>1603</v>
      </c>
      <c r="K159" s="2">
        <v>1800</v>
      </c>
      <c r="L159" s="14">
        <f t="shared" ref="L159:R159" si="106">IF(E159&lt;$T159,1,IF(E159&gt;$U159,100,(((((E159-$T159)/($U159-$T159))*99)+1))))</f>
        <v>1</v>
      </c>
      <c r="M159" s="14">
        <f t="shared" si="106"/>
        <v>34.430970149253731</v>
      </c>
      <c r="N159" s="14">
        <f t="shared" si="106"/>
        <v>40.618470149253731</v>
      </c>
      <c r="O159" s="14">
        <f t="shared" si="106"/>
        <v>50.5</v>
      </c>
      <c r="P159" s="14">
        <f t="shared" si="106"/>
        <v>86.424440298507463</v>
      </c>
      <c r="Q159" s="14">
        <f t="shared" si="106"/>
        <v>99.538246268656721</v>
      </c>
      <c r="R159" s="14">
        <f t="shared" si="106"/>
        <v>100</v>
      </c>
      <c r="S159">
        <f>MEDIAN(E159:K159)</f>
        <v>1072</v>
      </c>
      <c r="T159">
        <f>S159*0.5</f>
        <v>536</v>
      </c>
      <c r="U159">
        <f>S159*1.5</f>
        <v>1608</v>
      </c>
      <c r="V159">
        <v>1</v>
      </c>
    </row>
    <row r="162" spans="5:7" x14ac:dyDescent="0.45">
      <c r="G162" s="22"/>
    </row>
    <row r="163" spans="5:7" x14ac:dyDescent="0.45">
      <c r="G163" s="22"/>
    </row>
    <row r="164" spans="5:7" x14ac:dyDescent="0.45">
      <c r="E164" s="22"/>
      <c r="G164" s="22"/>
    </row>
    <row r="165" spans="5:7" x14ac:dyDescent="0.45">
      <c r="E165" s="22"/>
      <c r="G165" s="22"/>
    </row>
    <row r="166" spans="5:7" x14ac:dyDescent="0.45">
      <c r="E166" s="22"/>
      <c r="G166" s="22"/>
    </row>
    <row r="167" spans="5:7" x14ac:dyDescent="0.45">
      <c r="E167" s="22"/>
      <c r="G167" s="22"/>
    </row>
    <row r="168" spans="5:7" x14ac:dyDescent="0.45">
      <c r="E168" s="22"/>
      <c r="G168" s="22"/>
    </row>
    <row r="169" spans="5:7" x14ac:dyDescent="0.45">
      <c r="E169" s="22"/>
      <c r="G169" s="22"/>
    </row>
    <row r="170" spans="5:7" x14ac:dyDescent="0.45">
      <c r="E170" s="22"/>
      <c r="G170" s="22"/>
    </row>
    <row r="171" spans="5:7" x14ac:dyDescent="0.45">
      <c r="E171" s="22"/>
      <c r="G171" s="22"/>
    </row>
    <row r="172" spans="5:7" x14ac:dyDescent="0.45">
      <c r="E172" s="22"/>
      <c r="G172" s="22"/>
    </row>
    <row r="173" spans="5:7" x14ac:dyDescent="0.45">
      <c r="E173" s="22"/>
      <c r="G173" s="22"/>
    </row>
    <row r="174" spans="5:7" x14ac:dyDescent="0.45">
      <c r="E174" s="22"/>
      <c r="G174" s="22"/>
    </row>
    <row r="175" spans="5:7" x14ac:dyDescent="0.45">
      <c r="E175" s="22"/>
      <c r="G175" s="22"/>
    </row>
    <row r="176" spans="5:7" x14ac:dyDescent="0.45">
      <c r="E176" s="22"/>
    </row>
    <row r="177" spans="5:5" x14ac:dyDescent="0.45">
      <c r="E177" s="22"/>
    </row>
    <row r="178" spans="5:5" x14ac:dyDescent="0.45">
      <c r="E178" s="22"/>
    </row>
    <row r="179" spans="5:5" x14ac:dyDescent="0.45">
      <c r="E179" s="22"/>
    </row>
    <row r="180" spans="5:5" x14ac:dyDescent="0.45">
      <c r="E180" s="22"/>
    </row>
    <row r="181" spans="5:5" x14ac:dyDescent="0.45">
      <c r="E181" s="22"/>
    </row>
    <row r="182" spans="5:5" x14ac:dyDescent="0.45">
      <c r="E182" s="22"/>
    </row>
    <row r="183" spans="5:5" x14ac:dyDescent="0.45">
      <c r="E183" s="22"/>
    </row>
    <row r="184" spans="5:5" x14ac:dyDescent="0.45">
      <c r="E184" s="22"/>
    </row>
    <row r="185" spans="5:5" x14ac:dyDescent="0.45">
      <c r="E185" s="22"/>
    </row>
    <row r="186" spans="5:5" x14ac:dyDescent="0.45">
      <c r="E186" s="22"/>
    </row>
  </sheetData>
  <autoFilter ref="A1:W159" xr:uid="{29833B79-2CD1-48E3-ACB6-5B02F9947C82}">
    <sortState xmlns:xlrd2="http://schemas.microsoft.com/office/spreadsheetml/2017/richdata2" ref="A2:W159">
      <sortCondition ref="B1:B159"/>
    </sortState>
  </autoFilter>
  <dataValidations count="1">
    <dataValidation type="list" allowBlank="1" showInputMessage="1" showErrorMessage="1" sqref="B160:B2979" xr:uid="{C2EF70BE-7372-493C-BBC3-C25F3AB42C49}">
      <formula1>"Okos életkörülmények, Okos gazdaság, Okos kormányzás, Okos környezet,Okos közlekedés, Okos lakosság"</formula1>
    </dataValidation>
  </dataValidations>
  <hyperlinks>
    <hyperlink ref="C124" r:id="rId1" xr:uid="{8D388795-C83D-40AE-9E9A-86DD0699F7EE}"/>
    <hyperlink ref="C44" r:id="rId2" xr:uid="{F92CF7DE-AEB4-4E5E-BA41-FCF783B477A9}"/>
    <hyperlink ref="C151" r:id="rId3" xr:uid="{2ED9A7CD-E432-4327-B486-A581E4CBFC05}"/>
    <hyperlink ref="C120" r:id="rId4" xr:uid="{B9A9CCE1-4BE9-4E36-A0D3-DDF5AB8D9BCD}"/>
    <hyperlink ref="C123" r:id="rId5" xr:uid="{6B0C3EC1-D5EF-45EB-9474-FD52862B1C5A}"/>
    <hyperlink ref="C17" r:id="rId6" xr:uid="{5283D71B-5DFD-4277-AF97-D76393D2AE70}"/>
    <hyperlink ref="C31" r:id="rId7" xr:uid="{6E06D537-22B7-452F-924A-D220A16B471F}"/>
    <hyperlink ref="C32" r:id="rId8" display="https://menhely.hu/hajlektalansagrol/tudastar/februar-harmadika-anyagok/" xr:uid="{6C88B22E-E661-4117-9FB0-450F56B98238}"/>
    <hyperlink ref="C92" r:id="rId9" xr:uid="{2E2D70AF-D8C9-4758-AA49-CC260734BE82}"/>
    <hyperlink ref="C58" r:id="rId10" xr:uid="{0DFD9B91-5CDC-4659-BB24-A21B0108974D}"/>
    <hyperlink ref="C111" r:id="rId11" xr:uid="{5379B209-9211-4FB2-A595-299FDF137E53}"/>
    <hyperlink ref="C112" r:id="rId12" xr:uid="{28A8AC93-DB11-4BD2-87F7-E3D1CDD9352A}"/>
    <hyperlink ref="C144" r:id="rId13" xr:uid="{28C063D0-55F6-4561-8AEE-81F48F10042B}"/>
    <hyperlink ref="C13" r:id="rId14" xr:uid="{D099517F-C0B7-449C-BAC1-89FF28F36BE5}"/>
    <hyperlink ref="C72" r:id="rId15" xr:uid="{23B0B1D5-A079-4C61-8394-16EE2DB339F6}"/>
    <hyperlink ref="C87" r:id="rId16" xr:uid="{FEE5B459-FD26-46E3-A323-53A1E811D1AD}"/>
    <hyperlink ref="C54" r:id="rId17" xr:uid="{82B0B1D9-E282-401D-8FAB-DC4CAE33500F}"/>
    <hyperlink ref="C89" r:id="rId18" xr:uid="{0E6A5C57-E415-42B1-BB1D-596035C62378}"/>
    <hyperlink ref="C48" r:id="rId19" xr:uid="{76586120-2179-4274-8324-FF1E0DD24BCC}"/>
    <hyperlink ref="C157" r:id="rId20" xr:uid="{ECC2C27D-8E44-4521-8A74-9B954B684F9A}"/>
    <hyperlink ref="C3" r:id="rId21" xr:uid="{38492DC3-C372-4ED9-BFC9-6A3B10FDE6FB}"/>
    <hyperlink ref="C4" r:id="rId22" xr:uid="{4A5D2185-A486-4AED-A3B0-3C7BD510D55A}"/>
    <hyperlink ref="C2" r:id="rId23" xr:uid="{742044C1-2A57-444D-86B7-77957126F0F7}"/>
    <hyperlink ref="C146" r:id="rId24" xr:uid="{86C83F34-B7B4-48E6-8ED2-41873802AF14}"/>
    <hyperlink ref="C11" r:id="rId25" xr:uid="{0D940E22-9C0D-4079-B85B-DA1B99CBF0FC}"/>
    <hyperlink ref="C12" r:id="rId26" xr:uid="{C8081420-CB3D-46B4-933C-7AE79FB839FD}"/>
    <hyperlink ref="C49" r:id="rId27" xr:uid="{EDA9B314-2E87-46F8-AA63-DEEC907B32BF}"/>
    <hyperlink ref="C14" r:id="rId28" xr:uid="{08D61E67-9B2E-432B-B699-6B80869FD054}"/>
    <hyperlink ref="C15" r:id="rId29" xr:uid="{E8D8DB39-2397-4ADD-B310-A00C89A83FAA}"/>
    <hyperlink ref="C19" r:id="rId30" xr:uid="{6B7BBFE4-F49D-4B38-A0AD-22E1EBB9E519}"/>
    <hyperlink ref="C20" r:id="rId31" xr:uid="{8A93E0F7-CE6B-4048-894D-9C1672BBBEBD}"/>
    <hyperlink ref="C21" r:id="rId32" xr:uid="{A4A3C04E-B0C6-466A-8F24-7F13DAD4A3C4}"/>
    <hyperlink ref="C22" r:id="rId33" xr:uid="{F4C0BC4E-ABC2-458A-A9D6-66F5F202F5C4}"/>
    <hyperlink ref="C23" r:id="rId34" xr:uid="{8ADDE053-A8C5-4300-AD50-9782A7A5C4D1}"/>
    <hyperlink ref="C24" r:id="rId35" xr:uid="{F92D2A21-DE25-465E-895E-A6239489ECD7}"/>
    <hyperlink ref="C25" r:id="rId36" xr:uid="{76776945-7108-4E84-A818-4F32CBB2F714}"/>
    <hyperlink ref="C26" r:id="rId37" xr:uid="{120C40FA-DD94-41BD-9FB6-D95438BBB695}"/>
    <hyperlink ref="C27" r:id="rId38" xr:uid="{87F3A7C2-F0BA-4B16-9C36-F134C07EF995}"/>
    <hyperlink ref="C45" r:id="rId39" xr:uid="{54EE7097-A37D-44AF-A64A-DE1F6F8A6875}"/>
    <hyperlink ref="C46" r:id="rId40" xr:uid="{7CC7CD25-0AE5-46A7-AE81-9325D8937429}"/>
    <hyperlink ref="C47" r:id="rId41" xr:uid="{CA3A1AEF-E591-4354-B4F1-6CC2B1BBAF67}"/>
    <hyperlink ref="C55" r:id="rId42" xr:uid="{A0669565-D1FC-4423-B79B-72F335E3D9BF}"/>
    <hyperlink ref="C56" r:id="rId43" xr:uid="{EE26F0D7-3361-482F-BECB-949A1E9C3055}"/>
    <hyperlink ref="C57" r:id="rId44" xr:uid="{2CBC49AE-08CC-4CD6-8F4C-AE770204A84F}"/>
    <hyperlink ref="C59" r:id="rId45" xr:uid="{64B6E64B-6F28-43C5-8082-27C1B3C08A4A}"/>
    <hyperlink ref="C60" r:id="rId46" xr:uid="{EEB27A22-7E30-43AB-BF46-FA9C059BF202}"/>
    <hyperlink ref="C61" r:id="rId47" xr:uid="{A677B1E5-00D4-468A-995E-F97C969F7AD6}"/>
    <hyperlink ref="C62" r:id="rId48" xr:uid="{6593319C-989F-4FDE-BEBD-A20924E275B2}"/>
    <hyperlink ref="C63" r:id="rId49" xr:uid="{2946EA2C-A5BE-4064-B30E-5E796E1B0758}"/>
    <hyperlink ref="C64" r:id="rId50" xr:uid="{7E63DAB7-C138-4E4A-BA51-E3E99159AFC4}"/>
    <hyperlink ref="C65" r:id="rId51" xr:uid="{176E3503-B37D-449F-AFA9-1E5EDECA0926}"/>
    <hyperlink ref="C66" r:id="rId52" xr:uid="{0D098096-4393-43D2-B70A-8E6E48F90883}"/>
    <hyperlink ref="C69" r:id="rId53" xr:uid="{3A8E9D9B-BBE3-417D-82D3-3AA0CDF74430}"/>
    <hyperlink ref="C70" r:id="rId54" xr:uid="{FEA0BFD7-8120-400E-9C2B-68A4CADDF6B8}"/>
    <hyperlink ref="C75" r:id="rId55" xr:uid="{F16E3D33-F593-41F6-A5F3-8AAE5B5FE9C4}"/>
    <hyperlink ref="C88" r:id="rId56" xr:uid="{9E904004-0E55-4A24-A92A-0B3CCD5ADFF7}"/>
    <hyperlink ref="C102" r:id="rId57" xr:uid="{3675F248-CC35-4868-A99E-ACE8E97B83D7}"/>
    <hyperlink ref="C103" r:id="rId58" xr:uid="{C96A9AA0-1B46-4929-8B1D-CF217FD6D9AB}"/>
    <hyperlink ref="C113" r:id="rId59" xr:uid="{8820F001-3C12-408C-B8AA-8543A8C27BD7}"/>
    <hyperlink ref="C116" r:id="rId60" xr:uid="{FF2D0A80-F84A-4A2A-B977-52B442CCDD85}"/>
    <hyperlink ref="C117" r:id="rId61" xr:uid="{30CDC2C3-E6F8-4135-B80D-5ABB2C4CF436}"/>
    <hyperlink ref="C119" r:id="rId62" xr:uid="{2D87031E-CBC8-4A8F-8BD7-FCCDB9C3327C}"/>
    <hyperlink ref="C121" r:id="rId63" xr:uid="{238C7392-D954-4474-A87C-6232937DAC4B}"/>
    <hyperlink ref="C137" r:id="rId64" xr:uid="{37672F4C-1238-4F48-BE22-A613BEC86199}"/>
    <hyperlink ref="C138" r:id="rId65" xr:uid="{8CE9946A-EA06-4901-B851-08368E89DA82}"/>
    <hyperlink ref="C139" r:id="rId66" xr:uid="{17C92DD4-6151-4240-AD2A-E5ACDE7120B6}"/>
    <hyperlink ref="C140" r:id="rId67" xr:uid="{204CE9B0-480D-4AB0-AB7D-B8309653A35E}"/>
    <hyperlink ref="C141" r:id="rId68" xr:uid="{9FF57118-D107-4E71-A911-C987A51F79FD}"/>
    <hyperlink ref="C142" r:id="rId69" xr:uid="{38879757-253D-46A0-8288-CD9723DCDA0F}"/>
    <hyperlink ref="C143" r:id="rId70" xr:uid="{792AC37D-FA90-4144-B6F2-67285BA2FE2A}"/>
    <hyperlink ref="C145" r:id="rId71" xr:uid="{4B87051D-994C-4861-A47C-3FA12974E485}"/>
    <hyperlink ref="C71" r:id="rId72" xr:uid="{C9198294-3E44-4957-ABAA-8AFB8953D447}"/>
    <hyperlink ref="C96" r:id="rId73" xr:uid="{17915629-78C6-40CC-97E5-3673E36D7E12}"/>
    <hyperlink ref="C95" r:id="rId74" xr:uid="{3BD2BE62-AD6C-47C7-8C35-59C6018FFCAC}"/>
    <hyperlink ref="C122" r:id="rId75" xr:uid="{E421B8A7-56C2-4A60-AC3D-2F5161BAA37A}"/>
    <hyperlink ref="C128" r:id="rId76" xr:uid="{94CF7227-279C-44E2-95E9-C3BA89C341BE}"/>
    <hyperlink ref="C150" r:id="rId77" xr:uid="{6C6C17D8-0A20-4023-B697-C7F74EE62135}"/>
    <hyperlink ref="C149" r:id="rId78" xr:uid="{482872D0-A2B3-4FF3-A76B-66AFE2A56756}"/>
    <hyperlink ref="C148" r:id="rId79" xr:uid="{50C9B3E4-4829-4283-9673-3BEFE04A33D7}"/>
    <hyperlink ref="C110" r:id="rId80" xr:uid="{2A867B52-C6ED-4A1D-8F8A-C71A8DDD11B2}"/>
    <hyperlink ref="C91" r:id="rId81" xr:uid="{3AA4F56A-FE72-4FE3-AE83-2E2CCD53617C}"/>
  </hyperlinks>
  <pageMargins left="0.7" right="0.7" top="0.75" bottom="0.75" header="0.3" footer="0.3"/>
  <pageSetup paperSize="9" orientation="portrait" r:id="rId8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8768F5-DD23-4B5C-891A-8549CE265121}">
  <dimension ref="A1:Y159"/>
  <sheetViews>
    <sheetView zoomScaleNormal="100" workbookViewId="0">
      <selection activeCell="D5" sqref="D5"/>
    </sheetView>
  </sheetViews>
  <sheetFormatPr defaultRowHeight="14.25" x14ac:dyDescent="0.45"/>
  <cols>
    <col min="1" max="1" width="39.6640625" customWidth="1"/>
    <col min="2" max="2" width="18.1328125" bestFit="1" customWidth="1"/>
    <col min="10" max="10" width="9.3984375" bestFit="1" customWidth="1"/>
  </cols>
  <sheetData>
    <row r="1" spans="1:18" x14ac:dyDescent="0.45">
      <c r="A1" t="s">
        <v>0</v>
      </c>
      <c r="B1" t="s">
        <v>1</v>
      </c>
      <c r="C1" s="13" t="s">
        <v>251</v>
      </c>
      <c r="D1" s="13" t="s">
        <v>252</v>
      </c>
      <c r="E1" s="13" t="s">
        <v>253</v>
      </c>
      <c r="F1" s="13" t="s">
        <v>254</v>
      </c>
      <c r="G1" s="13" t="s">
        <v>255</v>
      </c>
      <c r="H1" s="13" t="s">
        <v>256</v>
      </c>
      <c r="I1" s="13" t="s">
        <v>257</v>
      </c>
      <c r="J1" t="s">
        <v>5</v>
      </c>
      <c r="K1" s="13" t="s">
        <v>319</v>
      </c>
      <c r="L1" s="13" t="s">
        <v>320</v>
      </c>
      <c r="M1" s="13" t="s">
        <v>321</v>
      </c>
      <c r="N1" s="13" t="s">
        <v>322</v>
      </c>
      <c r="O1" s="13" t="s">
        <v>323</v>
      </c>
      <c r="P1" s="13" t="s">
        <v>324</v>
      </c>
      <c r="Q1" s="13" t="s">
        <v>325</v>
      </c>
    </row>
    <row r="2" spans="1:18" x14ac:dyDescent="0.45">
      <c r="A2" t="s">
        <v>7</v>
      </c>
      <c r="B2" t="s">
        <v>8</v>
      </c>
      <c r="C2" s="21">
        <v>64.313953488372093</v>
      </c>
      <c r="D2" s="21">
        <v>48.197674418604649</v>
      </c>
      <c r="E2" s="21">
        <v>50.5</v>
      </c>
      <c r="F2" s="21">
        <v>41.290697674418603</v>
      </c>
      <c r="G2" s="21">
        <v>27.476744186046517</v>
      </c>
      <c r="H2" s="21">
        <v>64.313953488372093</v>
      </c>
      <c r="I2" s="21">
        <v>73.523255813953483</v>
      </c>
      <c r="J2">
        <v>0.66</v>
      </c>
      <c r="K2">
        <f>C2*$J2</f>
        <v>42.447209302325582</v>
      </c>
      <c r="L2">
        <f t="shared" ref="L2:Q2" si="0">D2*$J2</f>
        <v>31.810465116279069</v>
      </c>
      <c r="M2">
        <f t="shared" si="0"/>
        <v>33.33</v>
      </c>
      <c r="N2">
        <f t="shared" si="0"/>
        <v>27.25186046511628</v>
      </c>
      <c r="O2">
        <f t="shared" si="0"/>
        <v>18.134651162790703</v>
      </c>
      <c r="P2">
        <f t="shared" si="0"/>
        <v>42.447209302325582</v>
      </c>
      <c r="Q2">
        <f t="shared" si="0"/>
        <v>48.5253488372093</v>
      </c>
      <c r="R2" s="26"/>
    </row>
    <row r="3" spans="1:18" x14ac:dyDescent="0.45">
      <c r="A3" t="s">
        <v>11</v>
      </c>
      <c r="B3" t="s">
        <v>8</v>
      </c>
      <c r="C3" s="21">
        <v>2.8333333333333286</v>
      </c>
      <c r="D3" s="21">
        <v>17.5</v>
      </c>
      <c r="E3" s="21">
        <v>65.166666666666657</v>
      </c>
      <c r="F3" s="21">
        <v>54.166666666666664</v>
      </c>
      <c r="G3" s="21">
        <v>50.5</v>
      </c>
      <c r="H3" s="21">
        <v>79.833333333333343</v>
      </c>
      <c r="I3" s="21">
        <v>21.166666666666671</v>
      </c>
      <c r="J3">
        <v>0.66</v>
      </c>
      <c r="K3">
        <f t="shared" ref="K3:K66" si="1">C3*$J3</f>
        <v>1.869999999999997</v>
      </c>
      <c r="L3">
        <f t="shared" ref="L3:L66" si="2">D3*$J3</f>
        <v>11.55</v>
      </c>
      <c r="M3">
        <f t="shared" ref="M3:M66" si="3">E3*$J3</f>
        <v>43.01</v>
      </c>
      <c r="N3">
        <f t="shared" ref="N3:N66" si="4">F3*$J3</f>
        <v>35.75</v>
      </c>
      <c r="O3">
        <f t="shared" ref="O3:O66" si="5">G3*$J3</f>
        <v>33.33</v>
      </c>
      <c r="P3">
        <f t="shared" ref="P3:P66" si="6">H3*$J3</f>
        <v>52.690000000000012</v>
      </c>
      <c r="Q3">
        <f t="shared" ref="Q3:Q66" si="7">I3*$J3</f>
        <v>13.970000000000004</v>
      </c>
      <c r="R3" s="26"/>
    </row>
    <row r="4" spans="1:18" x14ac:dyDescent="0.45">
      <c r="A4" t="s">
        <v>13</v>
      </c>
      <c r="B4" t="s">
        <v>8</v>
      </c>
      <c r="C4" s="21">
        <v>50.5</v>
      </c>
      <c r="D4" s="21">
        <v>52.742272347535504</v>
      </c>
      <c r="E4" s="21">
        <v>44.995405179615702</v>
      </c>
      <c r="F4" s="21">
        <v>37.583959899749374</v>
      </c>
      <c r="G4" s="21">
        <v>48.152046783625735</v>
      </c>
      <c r="H4" s="21">
        <v>55.416457811194654</v>
      </c>
      <c r="I4" s="21">
        <v>55.917293233082709</v>
      </c>
      <c r="J4">
        <v>1</v>
      </c>
      <c r="K4">
        <f t="shared" si="1"/>
        <v>50.5</v>
      </c>
      <c r="L4">
        <f t="shared" si="2"/>
        <v>52.742272347535504</v>
      </c>
      <c r="M4">
        <f t="shared" si="3"/>
        <v>44.995405179615702</v>
      </c>
      <c r="N4">
        <f t="shared" si="4"/>
        <v>37.583959899749374</v>
      </c>
      <c r="O4">
        <f t="shared" si="5"/>
        <v>48.152046783625735</v>
      </c>
      <c r="P4">
        <f t="shared" si="6"/>
        <v>55.416457811194654</v>
      </c>
      <c r="Q4">
        <f t="shared" si="7"/>
        <v>55.917293233082709</v>
      </c>
      <c r="R4" s="26"/>
    </row>
    <row r="5" spans="1:18" x14ac:dyDescent="0.45">
      <c r="A5" t="s">
        <v>15</v>
      </c>
      <c r="B5" t="s">
        <v>8</v>
      </c>
      <c r="C5" t="s">
        <v>263</v>
      </c>
      <c r="D5" t="s">
        <v>263</v>
      </c>
      <c r="E5" t="s">
        <v>263</v>
      </c>
      <c r="F5" s="21">
        <v>36.314035747525544</v>
      </c>
      <c r="G5" s="21">
        <v>60.774970985982165</v>
      </c>
      <c r="H5" s="21">
        <v>46.823697068438591</v>
      </c>
      <c r="I5" s="21">
        <v>54.176302931561416</v>
      </c>
      <c r="J5">
        <v>1</v>
      </c>
      <c r="K5" t="s">
        <v>263</v>
      </c>
      <c r="L5" t="s">
        <v>263</v>
      </c>
      <c r="M5" t="s">
        <v>263</v>
      </c>
      <c r="N5">
        <f t="shared" si="4"/>
        <v>36.314035747525544</v>
      </c>
      <c r="O5">
        <f t="shared" si="5"/>
        <v>60.774970985982165</v>
      </c>
      <c r="P5">
        <f t="shared" si="6"/>
        <v>46.823697068438591</v>
      </c>
      <c r="Q5">
        <f t="shared" si="7"/>
        <v>54.176302931561416</v>
      </c>
      <c r="R5" s="26"/>
    </row>
    <row r="6" spans="1:18" x14ac:dyDescent="0.45">
      <c r="A6" t="s">
        <v>18</v>
      </c>
      <c r="B6" t="s">
        <v>8</v>
      </c>
      <c r="C6" t="s">
        <v>263</v>
      </c>
      <c r="D6" t="s">
        <v>263</v>
      </c>
      <c r="E6" t="s">
        <v>263</v>
      </c>
      <c r="F6" s="21">
        <v>47.881538327763749</v>
      </c>
      <c r="G6" s="21">
        <v>51.833396722893667</v>
      </c>
      <c r="H6" s="21">
        <v>49.16660327710634</v>
      </c>
      <c r="I6" s="21">
        <v>55.327093216709429</v>
      </c>
      <c r="J6">
        <v>1</v>
      </c>
      <c r="K6" t="s">
        <v>263</v>
      </c>
      <c r="L6" t="s">
        <v>263</v>
      </c>
      <c r="M6" t="s">
        <v>263</v>
      </c>
      <c r="N6">
        <f t="shared" si="4"/>
        <v>47.881538327763749</v>
      </c>
      <c r="O6">
        <f t="shared" si="5"/>
        <v>51.833396722893667</v>
      </c>
      <c r="P6">
        <f t="shared" si="6"/>
        <v>49.16660327710634</v>
      </c>
      <c r="Q6">
        <f t="shared" si="7"/>
        <v>55.327093216709429</v>
      </c>
      <c r="R6" s="26"/>
    </row>
    <row r="7" spans="1:18" x14ac:dyDescent="0.45">
      <c r="A7" t="s">
        <v>19</v>
      </c>
      <c r="B7" t="s">
        <v>8</v>
      </c>
      <c r="C7" s="21">
        <v>54.337220075919248</v>
      </c>
      <c r="D7" s="21">
        <v>35.582511623728152</v>
      </c>
      <c r="E7" s="21">
        <v>53.063752218054418</v>
      </c>
      <c r="F7" s="21">
        <v>51.790284360189595</v>
      </c>
      <c r="G7" s="21">
        <v>50.500000000000007</v>
      </c>
      <c r="H7" s="21">
        <v>49.192677070828331</v>
      </c>
      <c r="I7" s="21">
        <v>47.868090573564359</v>
      </c>
      <c r="J7">
        <v>1</v>
      </c>
      <c r="K7">
        <f t="shared" si="1"/>
        <v>54.337220075919248</v>
      </c>
      <c r="L7">
        <f t="shared" si="2"/>
        <v>35.582511623728152</v>
      </c>
      <c r="M7">
        <f t="shared" si="3"/>
        <v>53.063752218054418</v>
      </c>
      <c r="N7">
        <f t="shared" si="4"/>
        <v>51.790284360189595</v>
      </c>
      <c r="O7">
        <f t="shared" si="5"/>
        <v>50.500000000000007</v>
      </c>
      <c r="P7">
        <f t="shared" si="6"/>
        <v>49.192677070828331</v>
      </c>
      <c r="Q7">
        <f t="shared" si="7"/>
        <v>47.868090573564359</v>
      </c>
      <c r="R7" s="26"/>
    </row>
    <row r="8" spans="1:18" x14ac:dyDescent="0.45">
      <c r="A8" t="s">
        <v>264</v>
      </c>
      <c r="B8" t="s">
        <v>8</v>
      </c>
      <c r="C8" s="21">
        <v>41.390459215792532</v>
      </c>
      <c r="D8" s="21">
        <v>44.623706035158293</v>
      </c>
      <c r="E8" s="21">
        <v>52.919647683204786</v>
      </c>
      <c r="F8" s="21">
        <v>53.019248939161351</v>
      </c>
      <c r="G8" s="21">
        <v>49.958388836179431</v>
      </c>
      <c r="H8" s="21">
        <v>57.977707441332882</v>
      </c>
      <c r="I8" s="21">
        <v>50.500000000000014</v>
      </c>
      <c r="J8">
        <v>0.66</v>
      </c>
      <c r="K8">
        <f t="shared" si="1"/>
        <v>27.317703082423073</v>
      </c>
      <c r="L8">
        <f t="shared" si="2"/>
        <v>29.451645983204475</v>
      </c>
      <c r="M8">
        <f t="shared" si="3"/>
        <v>34.926967470915159</v>
      </c>
      <c r="N8">
        <f t="shared" si="4"/>
        <v>34.992704299846494</v>
      </c>
      <c r="O8">
        <f t="shared" si="5"/>
        <v>32.972536631878427</v>
      </c>
      <c r="P8">
        <f t="shared" si="6"/>
        <v>38.265286911279702</v>
      </c>
      <c r="Q8">
        <f t="shared" si="7"/>
        <v>33.330000000000013</v>
      </c>
      <c r="R8" s="26"/>
    </row>
    <row r="9" spans="1:18" x14ac:dyDescent="0.45">
      <c r="A9" t="s">
        <v>265</v>
      </c>
      <c r="B9" t="s">
        <v>8</v>
      </c>
      <c r="C9" s="21">
        <v>45.976910193621308</v>
      </c>
      <c r="D9" s="21">
        <v>48.445549085429988</v>
      </c>
      <c r="E9" s="21">
        <v>48.463996306924358</v>
      </c>
      <c r="F9" s="21">
        <v>50.499999999999986</v>
      </c>
      <c r="G9" s="21">
        <v>50.865069156095942</v>
      </c>
      <c r="H9" s="21">
        <v>56.356790880317448</v>
      </c>
      <c r="I9" s="21">
        <v>54.114463493792947</v>
      </c>
      <c r="J9">
        <v>0.66</v>
      </c>
      <c r="K9">
        <f t="shared" si="1"/>
        <v>30.344760727790064</v>
      </c>
      <c r="L9">
        <f t="shared" si="2"/>
        <v>31.974062396383793</v>
      </c>
      <c r="M9">
        <f t="shared" si="3"/>
        <v>31.986237562570079</v>
      </c>
      <c r="N9">
        <f t="shared" si="4"/>
        <v>33.329999999999991</v>
      </c>
      <c r="O9">
        <f t="shared" si="5"/>
        <v>33.570945643023322</v>
      </c>
      <c r="P9">
        <f t="shared" si="6"/>
        <v>37.195481981009515</v>
      </c>
      <c r="Q9">
        <f t="shared" si="7"/>
        <v>35.715545905903348</v>
      </c>
      <c r="R9" s="26"/>
    </row>
    <row r="10" spans="1:18" x14ac:dyDescent="0.45">
      <c r="A10" t="s">
        <v>266</v>
      </c>
      <c r="B10" t="s">
        <v>8</v>
      </c>
      <c r="C10" s="21">
        <v>46.481198000841829</v>
      </c>
      <c r="D10" s="21">
        <v>47.146007452093009</v>
      </c>
      <c r="E10" s="21">
        <v>54.485355521203175</v>
      </c>
      <c r="F10" s="21">
        <v>52.643723679583225</v>
      </c>
      <c r="G10" s="21">
        <v>50.5</v>
      </c>
      <c r="H10" s="21">
        <v>52.819846769111244</v>
      </c>
      <c r="I10" s="21">
        <v>46.129048462137519</v>
      </c>
      <c r="J10">
        <v>0.66</v>
      </c>
      <c r="K10">
        <f t="shared" si="1"/>
        <v>30.677590680555607</v>
      </c>
      <c r="L10">
        <f t="shared" si="2"/>
        <v>31.116364918381386</v>
      </c>
      <c r="M10">
        <f t="shared" si="3"/>
        <v>35.960334643994095</v>
      </c>
      <c r="N10">
        <f t="shared" si="4"/>
        <v>34.744857628524933</v>
      </c>
      <c r="O10">
        <f t="shared" si="5"/>
        <v>33.33</v>
      </c>
      <c r="P10">
        <f t="shared" si="6"/>
        <v>34.861098867613421</v>
      </c>
      <c r="Q10">
        <f t="shared" si="7"/>
        <v>30.445171985010763</v>
      </c>
      <c r="R10" s="26"/>
    </row>
    <row r="11" spans="1:18" x14ac:dyDescent="0.45">
      <c r="A11" t="s">
        <v>26</v>
      </c>
      <c r="B11" t="s">
        <v>8</v>
      </c>
      <c r="C11" s="21">
        <v>44.460775032859551</v>
      </c>
      <c r="D11" s="21">
        <v>42.525548888148911</v>
      </c>
      <c r="E11" s="21">
        <v>54.243848818058289</v>
      </c>
      <c r="F11" s="21">
        <v>52.456251710285819</v>
      </c>
      <c r="G11" s="21">
        <v>46.038324237581143</v>
      </c>
      <c r="H11" s="21">
        <v>50.5</v>
      </c>
      <c r="I11" s="21">
        <v>52.068848151891181</v>
      </c>
      <c r="J11">
        <v>0.66</v>
      </c>
      <c r="K11">
        <f t="shared" si="1"/>
        <v>29.344111521687307</v>
      </c>
      <c r="L11">
        <f t="shared" si="2"/>
        <v>28.066862266178283</v>
      </c>
      <c r="M11">
        <f t="shared" si="3"/>
        <v>35.800940219918473</v>
      </c>
      <c r="N11">
        <f t="shared" si="4"/>
        <v>34.621126128788646</v>
      </c>
      <c r="O11">
        <f t="shared" si="5"/>
        <v>30.385293996803558</v>
      </c>
      <c r="P11">
        <f t="shared" si="6"/>
        <v>33.33</v>
      </c>
      <c r="Q11">
        <f t="shared" si="7"/>
        <v>34.365439780248181</v>
      </c>
      <c r="R11" s="26"/>
    </row>
    <row r="12" spans="1:18" x14ac:dyDescent="0.45">
      <c r="A12" t="s">
        <v>27</v>
      </c>
      <c r="B12" t="s">
        <v>8</v>
      </c>
      <c r="C12" s="21">
        <v>1</v>
      </c>
      <c r="D12" s="21">
        <v>33.746153846153845</v>
      </c>
      <c r="E12" s="21">
        <v>41.361538461538473</v>
      </c>
      <c r="F12" s="21">
        <v>50.5</v>
      </c>
      <c r="G12" s="21">
        <v>80.961538461538453</v>
      </c>
      <c r="H12" s="21">
        <v>88.57692307692308</v>
      </c>
      <c r="I12" s="21">
        <v>95.346153846153854</v>
      </c>
      <c r="J12">
        <v>0.66</v>
      </c>
      <c r="K12">
        <f t="shared" si="1"/>
        <v>0.66</v>
      </c>
      <c r="L12">
        <f t="shared" si="2"/>
        <v>22.272461538461538</v>
      </c>
      <c r="M12">
        <f t="shared" si="3"/>
        <v>27.298615384615392</v>
      </c>
      <c r="N12">
        <f t="shared" si="4"/>
        <v>33.33</v>
      </c>
      <c r="O12">
        <f t="shared" si="5"/>
        <v>53.434615384615384</v>
      </c>
      <c r="P12">
        <f t="shared" si="6"/>
        <v>58.460769230769237</v>
      </c>
      <c r="Q12">
        <f t="shared" si="7"/>
        <v>62.928461538461548</v>
      </c>
      <c r="R12" s="26"/>
    </row>
    <row r="13" spans="1:18" x14ac:dyDescent="0.45">
      <c r="A13" t="s">
        <v>29</v>
      </c>
      <c r="B13" t="s">
        <v>8</v>
      </c>
      <c r="C13" s="21">
        <v>50.500000000000014</v>
      </c>
      <c r="D13" s="21">
        <v>50.500000000000014</v>
      </c>
      <c r="E13" s="21">
        <v>50.500000000000014</v>
      </c>
      <c r="F13" s="21">
        <v>50.500000000000014</v>
      </c>
      <c r="G13" s="21">
        <v>50.500000000000014</v>
      </c>
      <c r="H13" s="21">
        <v>40.890804597701162</v>
      </c>
      <c r="I13" s="21">
        <v>40.890804597701162</v>
      </c>
      <c r="J13">
        <v>0.66</v>
      </c>
      <c r="K13">
        <f t="shared" si="1"/>
        <v>33.330000000000013</v>
      </c>
      <c r="L13">
        <f t="shared" si="2"/>
        <v>33.330000000000013</v>
      </c>
      <c r="M13">
        <f t="shared" si="3"/>
        <v>33.330000000000013</v>
      </c>
      <c r="N13">
        <f t="shared" si="4"/>
        <v>33.330000000000013</v>
      </c>
      <c r="O13">
        <f t="shared" si="5"/>
        <v>33.330000000000013</v>
      </c>
      <c r="P13">
        <f t="shared" si="6"/>
        <v>26.98793103448277</v>
      </c>
      <c r="Q13">
        <f t="shared" si="7"/>
        <v>26.98793103448277</v>
      </c>
      <c r="R13" s="26"/>
    </row>
    <row r="14" spans="1:18" x14ac:dyDescent="0.45">
      <c r="A14" t="s">
        <v>32</v>
      </c>
      <c r="B14" t="s">
        <v>8</v>
      </c>
      <c r="C14" s="21">
        <v>50.5</v>
      </c>
      <c r="D14" s="21">
        <v>52.394132653061199</v>
      </c>
      <c r="E14" s="21">
        <v>44.817602040816297</v>
      </c>
      <c r="F14" s="21">
        <v>37.872448979591844</v>
      </c>
      <c r="G14" s="21">
        <v>48.605867346938709</v>
      </c>
      <c r="H14" s="21">
        <v>53.025510204081577</v>
      </c>
      <c r="I14" s="21">
        <v>53.025510204081577</v>
      </c>
      <c r="J14">
        <v>1</v>
      </c>
      <c r="K14">
        <f t="shared" si="1"/>
        <v>50.5</v>
      </c>
      <c r="L14">
        <f t="shared" si="2"/>
        <v>52.394132653061199</v>
      </c>
      <c r="M14">
        <f t="shared" si="3"/>
        <v>44.817602040816297</v>
      </c>
      <c r="N14">
        <f t="shared" si="4"/>
        <v>37.872448979591844</v>
      </c>
      <c r="O14">
        <f t="shared" si="5"/>
        <v>48.605867346938709</v>
      </c>
      <c r="P14">
        <f t="shared" si="6"/>
        <v>53.025510204081577</v>
      </c>
      <c r="Q14">
        <f t="shared" si="7"/>
        <v>53.025510204081577</v>
      </c>
      <c r="R14" s="26"/>
    </row>
    <row r="15" spans="1:18" x14ac:dyDescent="0.45">
      <c r="A15" t="s">
        <v>35</v>
      </c>
      <c r="B15" t="s">
        <v>8</v>
      </c>
      <c r="C15" s="21">
        <v>39.412000000000013</v>
      </c>
      <c r="D15" s="21">
        <v>44.164000000000023</v>
      </c>
      <c r="E15" s="21">
        <v>50.5</v>
      </c>
      <c r="F15" s="21">
        <v>50.5</v>
      </c>
      <c r="G15" s="21">
        <v>51.292000000000009</v>
      </c>
      <c r="H15" s="21">
        <v>59.21200000000001</v>
      </c>
      <c r="I15" s="21">
        <v>67.258517571885037</v>
      </c>
      <c r="J15">
        <v>1</v>
      </c>
      <c r="K15">
        <f t="shared" si="1"/>
        <v>39.412000000000013</v>
      </c>
      <c r="L15">
        <f t="shared" si="2"/>
        <v>44.164000000000023</v>
      </c>
      <c r="M15">
        <f t="shared" si="3"/>
        <v>50.5</v>
      </c>
      <c r="N15">
        <f t="shared" si="4"/>
        <v>50.5</v>
      </c>
      <c r="O15">
        <f t="shared" si="5"/>
        <v>51.292000000000009</v>
      </c>
      <c r="P15">
        <f t="shared" si="6"/>
        <v>59.21200000000001</v>
      </c>
      <c r="Q15">
        <f t="shared" si="7"/>
        <v>67.258517571885037</v>
      </c>
      <c r="R15" s="26"/>
    </row>
    <row r="16" spans="1:18" x14ac:dyDescent="0.45">
      <c r="A16" t="s">
        <v>37</v>
      </c>
      <c r="B16" t="s">
        <v>8</v>
      </c>
      <c r="C16" s="21">
        <v>51.028627985361418</v>
      </c>
      <c r="D16" s="21">
        <v>51.03299249303349</v>
      </c>
      <c r="E16" s="21">
        <v>51.289807575471102</v>
      </c>
      <c r="F16" s="21">
        <v>50.499999999999986</v>
      </c>
      <c r="G16" s="21">
        <v>49.181243526452</v>
      </c>
      <c r="H16" s="21">
        <v>47.066524883836955</v>
      </c>
      <c r="I16" s="21">
        <v>43.814871674524696</v>
      </c>
      <c r="J16">
        <v>0.66</v>
      </c>
      <c r="K16">
        <f t="shared" si="1"/>
        <v>33.678894470338534</v>
      </c>
      <c r="L16">
        <f t="shared" si="2"/>
        <v>33.681775045402105</v>
      </c>
      <c r="M16">
        <f t="shared" si="3"/>
        <v>33.851272999810931</v>
      </c>
      <c r="N16">
        <f t="shared" si="4"/>
        <v>33.329999999999991</v>
      </c>
      <c r="O16">
        <f t="shared" si="5"/>
        <v>32.459620727458322</v>
      </c>
      <c r="P16">
        <f t="shared" si="6"/>
        <v>31.063906423332391</v>
      </c>
      <c r="Q16">
        <f t="shared" si="7"/>
        <v>28.917815305186302</v>
      </c>
      <c r="R16" s="26"/>
    </row>
    <row r="17" spans="1:25" x14ac:dyDescent="0.45">
      <c r="A17" t="s">
        <v>38</v>
      </c>
      <c r="B17" t="s">
        <v>8</v>
      </c>
      <c r="C17" s="21">
        <v>14.744211634241253</v>
      </c>
      <c r="D17" s="21">
        <v>47.760294164623886</v>
      </c>
      <c r="E17" s="21">
        <v>66.049025853260702</v>
      </c>
      <c r="F17" s="21">
        <v>66.150529285332851</v>
      </c>
      <c r="G17" s="21">
        <v>51.65175752819993</v>
      </c>
      <c r="H17" s="21">
        <v>50.500000000000007</v>
      </c>
      <c r="I17" s="21">
        <v>23.578146411105095</v>
      </c>
      <c r="J17">
        <v>1</v>
      </c>
      <c r="K17">
        <f t="shared" si="1"/>
        <v>14.744211634241253</v>
      </c>
      <c r="L17">
        <f t="shared" si="2"/>
        <v>47.760294164623886</v>
      </c>
      <c r="M17">
        <f t="shared" si="3"/>
        <v>66.049025853260702</v>
      </c>
      <c r="N17">
        <f t="shared" si="4"/>
        <v>66.150529285332851</v>
      </c>
      <c r="O17">
        <f t="shared" si="5"/>
        <v>51.65175752819993</v>
      </c>
      <c r="P17">
        <f t="shared" si="6"/>
        <v>50.500000000000007</v>
      </c>
      <c r="Q17">
        <f t="shared" si="7"/>
        <v>23.578146411105095</v>
      </c>
      <c r="R17" s="26"/>
    </row>
    <row r="18" spans="1:25" x14ac:dyDescent="0.45">
      <c r="A18" t="s">
        <v>40</v>
      </c>
      <c r="B18" t="s">
        <v>8</v>
      </c>
      <c r="C18" s="21">
        <v>51.598622665563184</v>
      </c>
      <c r="D18" s="21">
        <v>66.577741103089025</v>
      </c>
      <c r="E18" s="21">
        <v>22.198882836808032</v>
      </c>
      <c r="F18" s="21">
        <v>17.023433077829818</v>
      </c>
      <c r="G18" s="21">
        <v>45.647097725914385</v>
      </c>
      <c r="H18" s="21">
        <v>50.5</v>
      </c>
      <c r="I18" s="21">
        <v>69.031176427266786</v>
      </c>
      <c r="J18">
        <v>0.66</v>
      </c>
      <c r="K18">
        <f t="shared" si="1"/>
        <v>34.055090959271702</v>
      </c>
      <c r="L18">
        <f t="shared" si="2"/>
        <v>43.94130912803876</v>
      </c>
      <c r="M18">
        <f t="shared" si="3"/>
        <v>14.651262672293301</v>
      </c>
      <c r="N18">
        <f t="shared" si="4"/>
        <v>11.23546583136768</v>
      </c>
      <c r="O18">
        <f t="shared" si="5"/>
        <v>30.127084499103496</v>
      </c>
      <c r="P18">
        <f t="shared" si="6"/>
        <v>33.33</v>
      </c>
      <c r="Q18">
        <f t="shared" si="7"/>
        <v>45.560576441996083</v>
      </c>
      <c r="R18" s="26"/>
    </row>
    <row r="19" spans="1:25" x14ac:dyDescent="0.45">
      <c r="A19" t="s">
        <v>43</v>
      </c>
      <c r="B19" t="s">
        <v>8</v>
      </c>
      <c r="C19" s="21">
        <v>43.938717760719058</v>
      </c>
      <c r="D19" s="21">
        <v>50.499999999999993</v>
      </c>
      <c r="E19" s="21">
        <v>100</v>
      </c>
      <c r="F19" s="21">
        <v>100</v>
      </c>
      <c r="G19" s="21">
        <v>35.103573196055706</v>
      </c>
      <c r="H19" s="21">
        <v>34.255807128648335</v>
      </c>
      <c r="I19" s="21">
        <v>51.494045230198388</v>
      </c>
      <c r="J19">
        <v>0.66</v>
      </c>
      <c r="K19">
        <f t="shared" si="1"/>
        <v>28.99955372207458</v>
      </c>
      <c r="L19">
        <f t="shared" si="2"/>
        <v>33.33</v>
      </c>
      <c r="M19">
        <f t="shared" si="3"/>
        <v>66</v>
      </c>
      <c r="N19">
        <f t="shared" si="4"/>
        <v>66</v>
      </c>
      <c r="O19">
        <f t="shared" si="5"/>
        <v>23.168358309396766</v>
      </c>
      <c r="P19">
        <f t="shared" si="6"/>
        <v>22.608832704907904</v>
      </c>
      <c r="Q19">
        <f t="shared" si="7"/>
        <v>33.986069851930935</v>
      </c>
      <c r="R19" s="26"/>
    </row>
    <row r="20" spans="1:25" x14ac:dyDescent="0.45">
      <c r="A20" t="s">
        <v>44</v>
      </c>
      <c r="B20" t="s">
        <v>8</v>
      </c>
      <c r="C20" s="21">
        <v>48.598650297222591</v>
      </c>
      <c r="D20" s="21">
        <v>51.546262569485584</v>
      </c>
      <c r="E20" s="21">
        <v>50.499999999999993</v>
      </c>
      <c r="F20" s="21">
        <v>51.98323241946499</v>
      </c>
      <c r="G20" s="21">
        <v>40.535220394239524</v>
      </c>
      <c r="H20" s="21">
        <v>47.042094366823171</v>
      </c>
      <c r="I20" s="21">
        <v>70.090640489115955</v>
      </c>
      <c r="J20">
        <v>0.66</v>
      </c>
      <c r="K20">
        <f t="shared" si="1"/>
        <v>32.075109196166913</v>
      </c>
      <c r="L20">
        <f t="shared" si="2"/>
        <v>34.020533295860488</v>
      </c>
      <c r="M20">
        <f t="shared" si="3"/>
        <v>33.33</v>
      </c>
      <c r="N20">
        <f t="shared" si="4"/>
        <v>34.308933396846896</v>
      </c>
      <c r="O20">
        <f t="shared" si="5"/>
        <v>26.753245460198087</v>
      </c>
      <c r="P20">
        <f t="shared" si="6"/>
        <v>31.047782282103295</v>
      </c>
      <c r="Q20">
        <f t="shared" si="7"/>
        <v>46.25982272281653</v>
      </c>
      <c r="R20" s="26"/>
    </row>
    <row r="21" spans="1:25" x14ac:dyDescent="0.45">
      <c r="A21" t="s">
        <v>45</v>
      </c>
      <c r="B21" t="s">
        <v>8</v>
      </c>
      <c r="C21" s="21">
        <v>73.984442253434409</v>
      </c>
      <c r="D21" s="21">
        <v>57.183492276500687</v>
      </c>
      <c r="E21" s="21">
        <v>50.499999999999986</v>
      </c>
      <c r="F21" s="21">
        <v>52.186069181264301</v>
      </c>
      <c r="G21" s="21">
        <v>42.720436690092093</v>
      </c>
      <c r="H21" s="21">
        <v>39.008814625538129</v>
      </c>
      <c r="I21" s="21">
        <v>44.178703642928426</v>
      </c>
      <c r="J21">
        <v>0.66</v>
      </c>
      <c r="K21">
        <f t="shared" si="1"/>
        <v>48.829731887266711</v>
      </c>
      <c r="L21">
        <f t="shared" si="2"/>
        <v>37.741104902490456</v>
      </c>
      <c r="M21">
        <f t="shared" si="3"/>
        <v>33.329999999999991</v>
      </c>
      <c r="N21">
        <f t="shared" si="4"/>
        <v>34.442805659634438</v>
      </c>
      <c r="O21">
        <f t="shared" si="5"/>
        <v>28.195488215460784</v>
      </c>
      <c r="P21">
        <f t="shared" si="6"/>
        <v>25.745817652855166</v>
      </c>
      <c r="Q21">
        <f t="shared" si="7"/>
        <v>29.157944404332763</v>
      </c>
      <c r="R21" s="26"/>
    </row>
    <row r="22" spans="1:25" x14ac:dyDescent="0.45">
      <c r="A22" t="s">
        <v>46</v>
      </c>
      <c r="B22" t="s">
        <v>8</v>
      </c>
      <c r="C22" s="21">
        <v>90.019898504591339</v>
      </c>
      <c r="D22" s="21">
        <v>88.415065502502401</v>
      </c>
      <c r="E22" s="21">
        <v>3.5289238357285324</v>
      </c>
      <c r="F22" s="21">
        <v>13.393296968639998</v>
      </c>
      <c r="G22" s="21">
        <v>31.057487508210095</v>
      </c>
      <c r="H22" s="21">
        <v>50.499999999999993</v>
      </c>
      <c r="I22" s="21">
        <v>58.678105446539</v>
      </c>
      <c r="J22">
        <v>0.66</v>
      </c>
      <c r="K22">
        <f t="shared" si="1"/>
        <v>59.41313301303029</v>
      </c>
      <c r="L22">
        <f t="shared" si="2"/>
        <v>58.353943231651584</v>
      </c>
      <c r="M22">
        <f t="shared" si="3"/>
        <v>2.3290897315808317</v>
      </c>
      <c r="N22">
        <f t="shared" si="4"/>
        <v>8.839575999302399</v>
      </c>
      <c r="O22">
        <f t="shared" si="5"/>
        <v>20.497941755418662</v>
      </c>
      <c r="P22">
        <f t="shared" si="6"/>
        <v>33.33</v>
      </c>
      <c r="Q22">
        <f t="shared" si="7"/>
        <v>38.72754959471574</v>
      </c>
      <c r="R22" s="26"/>
    </row>
    <row r="23" spans="1:25" x14ac:dyDescent="0.45">
      <c r="A23" t="s">
        <v>47</v>
      </c>
      <c r="B23" t="s">
        <v>8</v>
      </c>
      <c r="C23" s="21">
        <v>69.2459036126847</v>
      </c>
      <c r="D23" s="21">
        <v>34.733202516228076</v>
      </c>
      <c r="E23" s="21">
        <v>54.977451864710957</v>
      </c>
      <c r="F23" s="21">
        <v>42.649322763659121</v>
      </c>
      <c r="G23" s="21">
        <v>23.967617141016753</v>
      </c>
      <c r="H23" s="21">
        <v>50.500000000000014</v>
      </c>
      <c r="I23" s="21">
        <v>77.835239426743044</v>
      </c>
      <c r="J23">
        <v>0.66</v>
      </c>
      <c r="K23">
        <f t="shared" si="1"/>
        <v>45.702296384371905</v>
      </c>
      <c r="L23">
        <f t="shared" si="2"/>
        <v>22.923913660710532</v>
      </c>
      <c r="M23">
        <f t="shared" si="3"/>
        <v>36.28511823070923</v>
      </c>
      <c r="N23">
        <f t="shared" si="4"/>
        <v>28.148553024015023</v>
      </c>
      <c r="O23">
        <f t="shared" si="5"/>
        <v>15.818627313071058</v>
      </c>
      <c r="P23">
        <f t="shared" si="6"/>
        <v>33.330000000000013</v>
      </c>
      <c r="Q23">
        <f t="shared" si="7"/>
        <v>51.371258021650412</v>
      </c>
      <c r="R23" s="26"/>
    </row>
    <row r="24" spans="1:25" x14ac:dyDescent="0.45">
      <c r="A24" t="s">
        <v>48</v>
      </c>
      <c r="B24" t="s">
        <v>8</v>
      </c>
      <c r="C24" s="21">
        <v>67.914696140931966</v>
      </c>
      <c r="D24" s="21">
        <v>50.499999999999993</v>
      </c>
      <c r="E24" s="21">
        <v>14.682888183794965</v>
      </c>
      <c r="F24" s="21">
        <v>25.253915452219442</v>
      </c>
      <c r="G24" s="21">
        <v>45.724611078195629</v>
      </c>
      <c r="H24" s="21">
        <v>87.166963366623051</v>
      </c>
      <c r="I24" s="21">
        <v>100</v>
      </c>
      <c r="J24">
        <v>0.66</v>
      </c>
      <c r="K24">
        <f t="shared" si="1"/>
        <v>44.823699453015102</v>
      </c>
      <c r="L24">
        <f t="shared" si="2"/>
        <v>33.33</v>
      </c>
      <c r="M24">
        <f t="shared" si="3"/>
        <v>9.6907062013046783</v>
      </c>
      <c r="N24">
        <f t="shared" si="4"/>
        <v>16.667584198464834</v>
      </c>
      <c r="O24">
        <f t="shared" si="5"/>
        <v>30.178243311609116</v>
      </c>
      <c r="P24">
        <f t="shared" si="6"/>
        <v>57.530195821971219</v>
      </c>
      <c r="Q24">
        <f t="shared" si="7"/>
        <v>66</v>
      </c>
      <c r="R24" s="26"/>
    </row>
    <row r="25" spans="1:25" x14ac:dyDescent="0.45">
      <c r="A25" t="s">
        <v>49</v>
      </c>
      <c r="B25" t="s">
        <v>8</v>
      </c>
      <c r="C25" s="21">
        <v>100</v>
      </c>
      <c r="D25" s="21">
        <v>85.878482903867592</v>
      </c>
      <c r="E25" s="21">
        <v>1</v>
      </c>
      <c r="F25" s="21">
        <v>3.2321718675009934</v>
      </c>
      <c r="G25" s="21">
        <v>31.026422499421258</v>
      </c>
      <c r="H25" s="21">
        <v>50.500000000000014</v>
      </c>
      <c r="I25" s="21">
        <v>86.743427108452508</v>
      </c>
      <c r="J25">
        <v>0.66</v>
      </c>
      <c r="K25">
        <f t="shared" si="1"/>
        <v>66</v>
      </c>
      <c r="L25">
        <f t="shared" si="2"/>
        <v>56.679798716552611</v>
      </c>
      <c r="M25">
        <f t="shared" si="3"/>
        <v>0.66</v>
      </c>
      <c r="N25">
        <f t="shared" si="4"/>
        <v>2.1332334325506559</v>
      </c>
      <c r="O25">
        <f t="shared" si="5"/>
        <v>20.477438849618032</v>
      </c>
      <c r="P25">
        <f t="shared" si="6"/>
        <v>33.330000000000013</v>
      </c>
      <c r="Q25">
        <f t="shared" si="7"/>
        <v>57.250661891578659</v>
      </c>
      <c r="R25" s="26"/>
    </row>
    <row r="26" spans="1:25" x14ac:dyDescent="0.45">
      <c r="A26" t="s">
        <v>50</v>
      </c>
      <c r="B26" t="s">
        <v>8</v>
      </c>
      <c r="C26" s="21">
        <v>59.956467946311591</v>
      </c>
      <c r="D26" s="21">
        <v>43.534206571035782</v>
      </c>
      <c r="E26" s="21">
        <v>12.333370732984822</v>
      </c>
      <c r="F26" s="21">
        <v>2.7248832173829074</v>
      </c>
      <c r="G26" s="21">
        <v>50.5</v>
      </c>
      <c r="H26" s="21">
        <v>55.150198048917765</v>
      </c>
      <c r="I26" s="21">
        <v>54.997616300888581</v>
      </c>
      <c r="J26">
        <v>0.66</v>
      </c>
      <c r="K26">
        <f t="shared" si="1"/>
        <v>39.571268844565651</v>
      </c>
      <c r="L26">
        <f t="shared" si="2"/>
        <v>28.732576336883618</v>
      </c>
      <c r="M26">
        <f t="shared" si="3"/>
        <v>8.1400246837699832</v>
      </c>
      <c r="N26">
        <f t="shared" si="4"/>
        <v>1.7984229234727189</v>
      </c>
      <c r="O26">
        <f t="shared" si="5"/>
        <v>33.33</v>
      </c>
      <c r="P26">
        <f t="shared" si="6"/>
        <v>36.399130712285725</v>
      </c>
      <c r="Q26">
        <f t="shared" si="7"/>
        <v>36.298426758586466</v>
      </c>
      <c r="R26" s="26"/>
    </row>
    <row r="27" spans="1:25" x14ac:dyDescent="0.45">
      <c r="A27" t="s">
        <v>52</v>
      </c>
      <c r="B27" t="s">
        <v>8</v>
      </c>
      <c r="C27" s="21">
        <v>54.888420313256859</v>
      </c>
      <c r="D27" s="21">
        <v>50.5</v>
      </c>
      <c r="E27" s="21">
        <v>4.3289990589437188</v>
      </c>
      <c r="F27" s="21">
        <v>6.2541665467210432</v>
      </c>
      <c r="G27" s="21">
        <v>47.857261361637356</v>
      </c>
      <c r="H27" s="21">
        <v>51.571862244497076</v>
      </c>
      <c r="I27" s="21">
        <v>57.479444111644931</v>
      </c>
      <c r="J27">
        <v>0.66</v>
      </c>
      <c r="K27">
        <f t="shared" si="1"/>
        <v>36.226357406749528</v>
      </c>
      <c r="L27">
        <f t="shared" si="2"/>
        <v>33.33</v>
      </c>
      <c r="M27">
        <f t="shared" si="3"/>
        <v>2.8571393789028545</v>
      </c>
      <c r="N27">
        <f t="shared" si="4"/>
        <v>4.127749920835889</v>
      </c>
      <c r="O27">
        <f t="shared" si="5"/>
        <v>31.585792498680657</v>
      </c>
      <c r="P27">
        <f t="shared" si="6"/>
        <v>34.037429081368074</v>
      </c>
      <c r="Q27">
        <f t="shared" si="7"/>
        <v>37.936433113685659</v>
      </c>
      <c r="R27" s="26"/>
    </row>
    <row r="28" spans="1:25" x14ac:dyDescent="0.45">
      <c r="A28" t="s">
        <v>54</v>
      </c>
      <c r="B28" t="s">
        <v>8</v>
      </c>
      <c r="C28" s="21">
        <v>66.12</v>
      </c>
      <c r="D28" s="21">
        <v>66.12</v>
      </c>
      <c r="E28" s="21">
        <v>64.599999999999994</v>
      </c>
      <c r="F28" s="21">
        <v>58.3</v>
      </c>
      <c r="G28" s="21">
        <v>58.3</v>
      </c>
      <c r="H28" s="21">
        <v>53.8</v>
      </c>
      <c r="I28" s="21">
        <v>57.1</v>
      </c>
      <c r="J28">
        <v>1</v>
      </c>
      <c r="K28">
        <f t="shared" si="1"/>
        <v>66.12</v>
      </c>
      <c r="L28">
        <f t="shared" si="2"/>
        <v>66.12</v>
      </c>
      <c r="M28">
        <f t="shared" si="3"/>
        <v>64.599999999999994</v>
      </c>
      <c r="N28">
        <f t="shared" si="4"/>
        <v>58.3</v>
      </c>
      <c r="O28">
        <f t="shared" si="5"/>
        <v>58.3</v>
      </c>
      <c r="P28">
        <f t="shared" si="6"/>
        <v>53.8</v>
      </c>
      <c r="Q28">
        <f t="shared" si="7"/>
        <v>57.1</v>
      </c>
      <c r="R28" s="26"/>
    </row>
    <row r="29" spans="1:25" x14ac:dyDescent="0.45">
      <c r="A29" t="s">
        <v>57</v>
      </c>
      <c r="B29" t="s">
        <v>8</v>
      </c>
      <c r="C29" s="21">
        <v>51.76</v>
      </c>
      <c r="D29" s="21">
        <v>51.76</v>
      </c>
      <c r="E29" s="21">
        <v>49.5</v>
      </c>
      <c r="F29" s="21">
        <v>48</v>
      </c>
      <c r="G29" s="21">
        <v>48</v>
      </c>
      <c r="H29" s="21">
        <v>47</v>
      </c>
      <c r="I29" s="21">
        <v>48.5</v>
      </c>
      <c r="J29">
        <v>1</v>
      </c>
      <c r="K29">
        <f t="shared" si="1"/>
        <v>51.76</v>
      </c>
      <c r="L29">
        <f t="shared" si="2"/>
        <v>51.76</v>
      </c>
      <c r="M29">
        <f t="shared" si="3"/>
        <v>49.5</v>
      </c>
      <c r="N29">
        <f t="shared" si="4"/>
        <v>48</v>
      </c>
      <c r="O29">
        <f t="shared" si="5"/>
        <v>48</v>
      </c>
      <c r="P29">
        <f t="shared" si="6"/>
        <v>47</v>
      </c>
      <c r="Q29">
        <f t="shared" si="7"/>
        <v>48.5</v>
      </c>
      <c r="R29" s="26"/>
    </row>
    <row r="30" spans="1:25" x14ac:dyDescent="0.45">
      <c r="A30" t="s">
        <v>58</v>
      </c>
      <c r="B30" t="s">
        <v>8</v>
      </c>
      <c r="C30" s="21">
        <v>63.82</v>
      </c>
      <c r="D30" s="21">
        <v>63.82</v>
      </c>
      <c r="E30" s="21">
        <v>72.7</v>
      </c>
      <c r="F30" s="21">
        <v>77.8</v>
      </c>
      <c r="G30" s="21">
        <v>77.8</v>
      </c>
      <c r="H30" s="21">
        <v>80.3</v>
      </c>
      <c r="I30" s="21">
        <v>77.400000000000006</v>
      </c>
      <c r="J30">
        <v>1</v>
      </c>
      <c r="K30">
        <f t="shared" si="1"/>
        <v>63.82</v>
      </c>
      <c r="L30">
        <f t="shared" si="2"/>
        <v>63.82</v>
      </c>
      <c r="M30">
        <f t="shared" si="3"/>
        <v>72.7</v>
      </c>
      <c r="N30">
        <f t="shared" si="4"/>
        <v>77.8</v>
      </c>
      <c r="O30">
        <f t="shared" si="5"/>
        <v>77.8</v>
      </c>
      <c r="P30">
        <f t="shared" si="6"/>
        <v>80.3</v>
      </c>
      <c r="Q30">
        <f t="shared" si="7"/>
        <v>77.400000000000006</v>
      </c>
      <c r="R30" s="26"/>
    </row>
    <row r="31" spans="1:25" x14ac:dyDescent="0.45">
      <c r="A31" t="s">
        <v>59</v>
      </c>
      <c r="B31" t="s">
        <v>8</v>
      </c>
      <c r="C31" s="21">
        <v>42.249999999999986</v>
      </c>
      <c r="D31" s="21">
        <v>50.499999999999986</v>
      </c>
      <c r="E31" s="21">
        <v>36.062499999999986</v>
      </c>
      <c r="F31" s="21">
        <v>40.187499999999993</v>
      </c>
      <c r="G31" s="21">
        <v>52.562499999999979</v>
      </c>
      <c r="H31" s="21">
        <v>85.5625</v>
      </c>
      <c r="I31" s="21">
        <v>93.8125</v>
      </c>
      <c r="J31">
        <v>0.66</v>
      </c>
      <c r="K31">
        <f t="shared" si="1"/>
        <v>27.884999999999991</v>
      </c>
      <c r="L31">
        <f t="shared" si="2"/>
        <v>33.329999999999991</v>
      </c>
      <c r="M31">
        <f t="shared" si="3"/>
        <v>23.801249999999992</v>
      </c>
      <c r="N31">
        <f t="shared" si="4"/>
        <v>26.523749999999996</v>
      </c>
      <c r="O31">
        <f t="shared" si="5"/>
        <v>34.691249999999989</v>
      </c>
      <c r="P31">
        <f t="shared" si="6"/>
        <v>56.471250000000005</v>
      </c>
      <c r="Q31">
        <f t="shared" si="7"/>
        <v>61.916250000000005</v>
      </c>
      <c r="R31" s="26"/>
    </row>
    <row r="32" spans="1:25" x14ac:dyDescent="0.45">
      <c r="A32" t="s">
        <v>61</v>
      </c>
      <c r="B32" t="s">
        <v>8</v>
      </c>
      <c r="C32" s="21">
        <v>26.227464047702568</v>
      </c>
      <c r="D32" s="21">
        <v>34.596106629252887</v>
      </c>
      <c r="E32" s="21">
        <v>42.999473868817958</v>
      </c>
      <c r="F32" s="21">
        <v>50.5</v>
      </c>
      <c r="G32" s="21">
        <v>56.368467204489654</v>
      </c>
      <c r="H32" s="21">
        <v>63.625920729568577</v>
      </c>
      <c r="I32" s="21">
        <v>68.209575587513143</v>
      </c>
      <c r="J32">
        <v>1</v>
      </c>
      <c r="K32">
        <f t="shared" si="1"/>
        <v>26.227464047702568</v>
      </c>
      <c r="L32">
        <f t="shared" si="2"/>
        <v>34.596106629252887</v>
      </c>
      <c r="M32">
        <f t="shared" si="3"/>
        <v>42.999473868817958</v>
      </c>
      <c r="N32">
        <f t="shared" si="4"/>
        <v>50.5</v>
      </c>
      <c r="O32">
        <f t="shared" si="5"/>
        <v>56.368467204489654</v>
      </c>
      <c r="P32">
        <f t="shared" si="6"/>
        <v>63.625920729568577</v>
      </c>
      <c r="Q32">
        <f t="shared" si="7"/>
        <v>68.209575587513143</v>
      </c>
      <c r="R32">
        <f>SUM(J2:J32)</f>
        <v>24.200000000000003</v>
      </c>
      <c r="S32">
        <f>SUM(K2:K32)/($R32-2)</f>
        <v>50.030288577004306</v>
      </c>
      <c r="T32">
        <f t="shared" ref="T32:U32" si="8">SUM(L2:L32)/($R32-2)</f>
        <v>50.35613216012073</v>
      </c>
      <c r="U32">
        <f t="shared" si="8"/>
        <v>46.387126952295041</v>
      </c>
      <c r="V32">
        <f t="shared" ref="V32:X32" si="9">SUM(N2:N32)/$R32</f>
        <v>45.355347913591721</v>
      </c>
      <c r="W32">
        <f t="shared" si="9"/>
        <v>49.547505798812239</v>
      </c>
      <c r="X32">
        <f t="shared" si="9"/>
        <v>56.220040833368678</v>
      </c>
      <c r="Y32">
        <f>SUM(Q2:Q32)/$R32</f>
        <v>59.008728798235445</v>
      </c>
    </row>
    <row r="33" spans="1:17" x14ac:dyDescent="0.45">
      <c r="A33" t="s">
        <v>64</v>
      </c>
      <c r="B33" t="s">
        <v>65</v>
      </c>
      <c r="C33" s="21">
        <v>53.294954796642699</v>
      </c>
      <c r="D33" s="21">
        <v>52.32896714374899</v>
      </c>
      <c r="E33" s="21">
        <v>50.5</v>
      </c>
      <c r="F33" s="21">
        <v>51.156963166778418</v>
      </c>
      <c r="G33" s="21">
        <v>50.451929524382066</v>
      </c>
      <c r="H33" s="21">
        <v>45.743311984092117</v>
      </c>
      <c r="I33" s="21">
        <v>43.337499132927931</v>
      </c>
      <c r="J33">
        <v>0.66</v>
      </c>
      <c r="K33">
        <f t="shared" si="1"/>
        <v>35.174670165784185</v>
      </c>
      <c r="L33">
        <f t="shared" si="2"/>
        <v>34.537118314874334</v>
      </c>
      <c r="M33">
        <f t="shared" si="3"/>
        <v>33.33</v>
      </c>
      <c r="N33">
        <f t="shared" si="4"/>
        <v>33.763595690073757</v>
      </c>
      <c r="O33">
        <f t="shared" si="5"/>
        <v>33.298273486092164</v>
      </c>
      <c r="P33">
        <f t="shared" si="6"/>
        <v>30.190585909500797</v>
      </c>
      <c r="Q33">
        <f t="shared" si="7"/>
        <v>28.602749427732437</v>
      </c>
    </row>
    <row r="34" spans="1:17" x14ac:dyDescent="0.45">
      <c r="A34" t="s">
        <v>66</v>
      </c>
      <c r="B34" t="s">
        <v>65</v>
      </c>
      <c r="C34" s="21">
        <v>60.243781759828835</v>
      </c>
      <c r="D34" s="21">
        <v>57.251805295533565</v>
      </c>
      <c r="E34" s="21">
        <v>52.830034768654727</v>
      </c>
      <c r="F34" s="21">
        <v>50.5</v>
      </c>
      <c r="G34" s="21">
        <v>47.666889542658467</v>
      </c>
      <c r="H34" s="21">
        <v>37.711286440224661</v>
      </c>
      <c r="I34" s="21">
        <v>34.481010965498797</v>
      </c>
      <c r="J34">
        <v>0.66</v>
      </c>
      <c r="K34">
        <f t="shared" si="1"/>
        <v>39.76089596148703</v>
      </c>
      <c r="L34">
        <f t="shared" si="2"/>
        <v>37.786191495052158</v>
      </c>
      <c r="M34">
        <f t="shared" si="3"/>
        <v>34.867822947312121</v>
      </c>
      <c r="N34">
        <f t="shared" si="4"/>
        <v>33.33</v>
      </c>
      <c r="O34">
        <f t="shared" si="5"/>
        <v>31.460147098154589</v>
      </c>
      <c r="P34">
        <f t="shared" si="6"/>
        <v>24.889449050548279</v>
      </c>
      <c r="Q34">
        <f t="shared" si="7"/>
        <v>22.757467237229207</v>
      </c>
    </row>
    <row r="35" spans="1:17" x14ac:dyDescent="0.45">
      <c r="A35" t="s">
        <v>67</v>
      </c>
      <c r="B35" t="s">
        <v>65</v>
      </c>
      <c r="C35" s="21">
        <v>46.892123459264454</v>
      </c>
      <c r="D35" s="21">
        <v>51.485469485920433</v>
      </c>
      <c r="E35" s="21">
        <v>52.517236196011623</v>
      </c>
      <c r="F35" s="21">
        <v>56.068894678825529</v>
      </c>
      <c r="G35" s="21">
        <v>50.5</v>
      </c>
      <c r="H35" s="21">
        <v>48.016484617697166</v>
      </c>
      <c r="I35" s="21">
        <v>46.961569295520597</v>
      </c>
      <c r="J35">
        <v>0.66</v>
      </c>
      <c r="K35">
        <f t="shared" si="1"/>
        <v>30.94880148311454</v>
      </c>
      <c r="L35">
        <f t="shared" si="2"/>
        <v>33.980409860707489</v>
      </c>
      <c r="M35">
        <f t="shared" si="3"/>
        <v>34.661375889367676</v>
      </c>
      <c r="N35">
        <f t="shared" si="4"/>
        <v>37.005470488024848</v>
      </c>
      <c r="O35">
        <f t="shared" si="5"/>
        <v>33.33</v>
      </c>
      <c r="P35">
        <f t="shared" si="6"/>
        <v>31.690879847680133</v>
      </c>
      <c r="Q35">
        <f t="shared" si="7"/>
        <v>30.994635735043595</v>
      </c>
    </row>
    <row r="36" spans="1:17" x14ac:dyDescent="0.45">
      <c r="A36" t="s">
        <v>68</v>
      </c>
      <c r="B36" t="s">
        <v>65</v>
      </c>
      <c r="C36" s="21">
        <v>34.332043343653254</v>
      </c>
      <c r="D36" s="21">
        <v>35.935429566563471</v>
      </c>
      <c r="E36" s="21">
        <v>38.201625386996902</v>
      </c>
      <c r="F36" s="21">
        <v>50.5</v>
      </c>
      <c r="G36" s="21">
        <v>54.961513157894736</v>
      </c>
      <c r="H36" s="21">
        <v>56.110893962848301</v>
      </c>
      <c r="I36" s="21">
        <v>56.651102941176468</v>
      </c>
      <c r="J36">
        <v>1</v>
      </c>
      <c r="K36">
        <f t="shared" si="1"/>
        <v>34.332043343653254</v>
      </c>
      <c r="L36">
        <f t="shared" si="2"/>
        <v>35.935429566563471</v>
      </c>
      <c r="M36">
        <f t="shared" si="3"/>
        <v>38.201625386996902</v>
      </c>
      <c r="N36">
        <f t="shared" si="4"/>
        <v>50.5</v>
      </c>
      <c r="O36">
        <f t="shared" si="5"/>
        <v>54.961513157894736</v>
      </c>
      <c r="P36">
        <f t="shared" si="6"/>
        <v>56.110893962848301</v>
      </c>
      <c r="Q36">
        <f t="shared" si="7"/>
        <v>56.651102941176468</v>
      </c>
    </row>
    <row r="37" spans="1:17" x14ac:dyDescent="0.45">
      <c r="A37" t="s">
        <v>69</v>
      </c>
      <c r="B37" t="s">
        <v>65</v>
      </c>
      <c r="C37" s="21">
        <v>54.745822904687813</v>
      </c>
      <c r="D37" s="21">
        <v>51.303625786376251</v>
      </c>
      <c r="E37" s="21">
        <v>50.854934722316173</v>
      </c>
      <c r="F37" s="21">
        <v>50.5</v>
      </c>
      <c r="G37" s="21">
        <v>49.7231617398363</v>
      </c>
      <c r="H37" s="21">
        <v>49.709767976730028</v>
      </c>
      <c r="I37" s="21">
        <v>49.287864438882501</v>
      </c>
      <c r="J37">
        <v>1</v>
      </c>
      <c r="K37">
        <f t="shared" si="1"/>
        <v>54.745822904687813</v>
      </c>
      <c r="L37">
        <f t="shared" si="2"/>
        <v>51.303625786376251</v>
      </c>
      <c r="M37">
        <f t="shared" si="3"/>
        <v>50.854934722316173</v>
      </c>
      <c r="N37">
        <f t="shared" si="4"/>
        <v>50.5</v>
      </c>
      <c r="O37">
        <f t="shared" si="5"/>
        <v>49.7231617398363</v>
      </c>
      <c r="P37">
        <f t="shared" si="6"/>
        <v>49.709767976730028</v>
      </c>
      <c r="Q37">
        <f t="shared" si="7"/>
        <v>49.287864438882501</v>
      </c>
    </row>
    <row r="38" spans="1:17" x14ac:dyDescent="0.45">
      <c r="A38" t="s">
        <v>70</v>
      </c>
      <c r="B38" t="s">
        <v>65</v>
      </c>
      <c r="C38" s="21">
        <v>27.311409395973154</v>
      </c>
      <c r="D38" s="21">
        <v>21.863087248322149</v>
      </c>
      <c r="E38" s="21">
        <v>26.048993288590605</v>
      </c>
      <c r="F38" s="21">
        <v>50.5</v>
      </c>
      <c r="G38" s="21">
        <v>54.420134228187912</v>
      </c>
      <c r="H38" s="21">
        <v>56.346979865771814</v>
      </c>
      <c r="I38" s="21">
        <v>56.014765100671141</v>
      </c>
      <c r="J38">
        <v>1</v>
      </c>
      <c r="K38">
        <f t="shared" si="1"/>
        <v>27.311409395973154</v>
      </c>
      <c r="L38">
        <f t="shared" si="2"/>
        <v>21.863087248322149</v>
      </c>
      <c r="M38">
        <f t="shared" si="3"/>
        <v>26.048993288590605</v>
      </c>
      <c r="N38">
        <f t="shared" si="4"/>
        <v>50.5</v>
      </c>
      <c r="O38">
        <f t="shared" si="5"/>
        <v>54.420134228187912</v>
      </c>
      <c r="P38">
        <f t="shared" si="6"/>
        <v>56.346979865771814</v>
      </c>
      <c r="Q38">
        <f t="shared" si="7"/>
        <v>56.014765100671141</v>
      </c>
    </row>
    <row r="39" spans="1:17" x14ac:dyDescent="0.45">
      <c r="A39" t="s">
        <v>71</v>
      </c>
      <c r="B39" t="s">
        <v>65</v>
      </c>
      <c r="C39" s="21">
        <v>51.447872340425533</v>
      </c>
      <c r="D39" s="21">
        <v>50.5</v>
      </c>
      <c r="E39" s="21">
        <v>50.897203647416411</v>
      </c>
      <c r="F39" s="21">
        <v>51.956413373860187</v>
      </c>
      <c r="G39" s="21">
        <v>50.187051671732526</v>
      </c>
      <c r="H39" s="21">
        <v>48.420699088145895</v>
      </c>
      <c r="I39" s="21">
        <v>46.684437689969606</v>
      </c>
      <c r="J39">
        <v>1</v>
      </c>
      <c r="K39">
        <f t="shared" si="1"/>
        <v>51.447872340425533</v>
      </c>
      <c r="L39">
        <f t="shared" si="2"/>
        <v>50.5</v>
      </c>
      <c r="M39">
        <f t="shared" si="3"/>
        <v>50.897203647416411</v>
      </c>
      <c r="N39">
        <f t="shared" si="4"/>
        <v>51.956413373860187</v>
      </c>
      <c r="O39">
        <f t="shared" si="5"/>
        <v>50.187051671732526</v>
      </c>
      <c r="P39">
        <f t="shared" si="6"/>
        <v>48.420699088145895</v>
      </c>
      <c r="Q39">
        <f t="shared" si="7"/>
        <v>46.684437689969606</v>
      </c>
    </row>
    <row r="40" spans="1:17" x14ac:dyDescent="0.45">
      <c r="A40" t="s">
        <v>72</v>
      </c>
      <c r="B40" t="s">
        <v>65</v>
      </c>
      <c r="C40" s="21">
        <v>37.69480469649298</v>
      </c>
      <c r="D40" s="21">
        <v>39.385196838308644</v>
      </c>
      <c r="E40" s="21">
        <v>41.873302125700256</v>
      </c>
      <c r="F40" s="21">
        <v>50.5</v>
      </c>
      <c r="G40" s="21">
        <v>54.541746604251401</v>
      </c>
      <c r="H40" s="21">
        <v>57.599646995625818</v>
      </c>
      <c r="I40" s="21">
        <v>60.034571406645689</v>
      </c>
      <c r="J40">
        <v>1</v>
      </c>
      <c r="K40">
        <f t="shared" si="1"/>
        <v>37.69480469649298</v>
      </c>
      <c r="L40">
        <f t="shared" si="2"/>
        <v>39.385196838308644</v>
      </c>
      <c r="M40">
        <f t="shared" si="3"/>
        <v>41.873302125700256</v>
      </c>
      <c r="N40">
        <f t="shared" si="4"/>
        <v>50.5</v>
      </c>
      <c r="O40">
        <f t="shared" si="5"/>
        <v>54.541746604251401</v>
      </c>
      <c r="P40">
        <f t="shared" si="6"/>
        <v>57.599646995625818</v>
      </c>
      <c r="Q40">
        <f t="shared" si="7"/>
        <v>60.034571406645689</v>
      </c>
    </row>
    <row r="41" spans="1:17" x14ac:dyDescent="0.45">
      <c r="A41" t="s">
        <v>73</v>
      </c>
      <c r="B41" t="s">
        <v>65</v>
      </c>
      <c r="C41" s="21">
        <v>29.995829291949565</v>
      </c>
      <c r="D41" s="21">
        <v>50.5</v>
      </c>
      <c r="E41" s="21">
        <v>46.467022308438409</v>
      </c>
      <c r="F41" s="21">
        <v>45.98690591658584</v>
      </c>
      <c r="G41" s="21">
        <v>52.535693501454901</v>
      </c>
      <c r="H41" s="21">
        <v>54.372938894277404</v>
      </c>
      <c r="I41" s="21">
        <v>57.573714839961198</v>
      </c>
      <c r="J41">
        <v>1</v>
      </c>
      <c r="K41">
        <f t="shared" si="1"/>
        <v>29.995829291949565</v>
      </c>
      <c r="L41">
        <f t="shared" si="2"/>
        <v>50.5</v>
      </c>
      <c r="M41">
        <f t="shared" si="3"/>
        <v>46.467022308438409</v>
      </c>
      <c r="N41">
        <f t="shared" si="4"/>
        <v>45.98690591658584</v>
      </c>
      <c r="O41">
        <f t="shared" si="5"/>
        <v>52.535693501454901</v>
      </c>
      <c r="P41">
        <f t="shared" si="6"/>
        <v>54.372938894277404</v>
      </c>
      <c r="Q41">
        <f t="shared" si="7"/>
        <v>57.573714839961198</v>
      </c>
    </row>
    <row r="42" spans="1:17" x14ac:dyDescent="0.45">
      <c r="A42" t="s">
        <v>74</v>
      </c>
      <c r="B42" t="s">
        <v>65</v>
      </c>
      <c r="C42" s="21">
        <v>51.369028198555114</v>
      </c>
      <c r="D42" s="21">
        <v>50.815311116289912</v>
      </c>
      <c r="E42" s="21">
        <v>50.507690515031463</v>
      </c>
      <c r="F42" s="21">
        <v>46.254835702633422</v>
      </c>
      <c r="G42" s="21">
        <v>50.492309484968537</v>
      </c>
      <c r="H42" s="21">
        <v>50.5</v>
      </c>
      <c r="I42" s="21">
        <v>48.646585877417849</v>
      </c>
      <c r="J42">
        <v>1</v>
      </c>
      <c r="K42">
        <f t="shared" si="1"/>
        <v>51.369028198555114</v>
      </c>
      <c r="L42">
        <f t="shared" si="2"/>
        <v>50.815311116289912</v>
      </c>
      <c r="M42">
        <f t="shared" si="3"/>
        <v>50.507690515031463</v>
      </c>
      <c r="N42">
        <f t="shared" si="4"/>
        <v>46.254835702633422</v>
      </c>
      <c r="O42">
        <f t="shared" si="5"/>
        <v>50.492309484968537</v>
      </c>
      <c r="P42">
        <f t="shared" si="6"/>
        <v>50.5</v>
      </c>
      <c r="Q42">
        <f t="shared" si="7"/>
        <v>48.646585877417849</v>
      </c>
    </row>
    <row r="43" spans="1:17" x14ac:dyDescent="0.45">
      <c r="A43" t="s">
        <v>75</v>
      </c>
      <c r="B43" t="s">
        <v>65</v>
      </c>
      <c r="C43" s="21">
        <v>35.452000000000005</v>
      </c>
      <c r="D43" s="21">
        <v>81.123999999999995</v>
      </c>
      <c r="E43" s="21">
        <v>45.22</v>
      </c>
      <c r="F43" s="21">
        <v>40.731999999999992</v>
      </c>
      <c r="G43" s="21">
        <v>100</v>
      </c>
      <c r="H43" s="21">
        <v>80.068000000000012</v>
      </c>
      <c r="I43" s="21">
        <v>50.5</v>
      </c>
      <c r="J43">
        <v>1</v>
      </c>
      <c r="K43">
        <f t="shared" si="1"/>
        <v>35.452000000000005</v>
      </c>
      <c r="L43">
        <f t="shared" si="2"/>
        <v>81.123999999999995</v>
      </c>
      <c r="M43">
        <f t="shared" si="3"/>
        <v>45.22</v>
      </c>
      <c r="N43">
        <f t="shared" si="4"/>
        <v>40.731999999999992</v>
      </c>
      <c r="O43">
        <f t="shared" si="5"/>
        <v>100</v>
      </c>
      <c r="P43">
        <f t="shared" si="6"/>
        <v>80.068000000000012</v>
      </c>
      <c r="Q43">
        <f t="shared" si="7"/>
        <v>50.5</v>
      </c>
    </row>
    <row r="44" spans="1:17" x14ac:dyDescent="0.45">
      <c r="A44" t="s">
        <v>76</v>
      </c>
      <c r="B44" t="s">
        <v>65</v>
      </c>
      <c r="C44" s="21">
        <v>55.953389830508485</v>
      </c>
      <c r="D44" s="21">
        <v>50.499999999999986</v>
      </c>
      <c r="E44" s="21">
        <v>55.953389830508485</v>
      </c>
      <c r="F44" s="21">
        <v>65.601694915254242</v>
      </c>
      <c r="G44" s="21">
        <v>47.563559322033896</v>
      </c>
      <c r="H44" s="21">
        <v>45.46610169491526</v>
      </c>
      <c r="I44" s="21">
        <v>43.414440085855986</v>
      </c>
      <c r="J44">
        <v>1</v>
      </c>
      <c r="K44">
        <f t="shared" si="1"/>
        <v>55.953389830508485</v>
      </c>
      <c r="L44">
        <f t="shared" si="2"/>
        <v>50.499999999999986</v>
      </c>
      <c r="M44">
        <f t="shared" si="3"/>
        <v>55.953389830508485</v>
      </c>
      <c r="N44">
        <f t="shared" si="4"/>
        <v>65.601694915254242</v>
      </c>
      <c r="O44">
        <f t="shared" si="5"/>
        <v>47.563559322033896</v>
      </c>
      <c r="P44">
        <f t="shared" si="6"/>
        <v>45.46610169491526</v>
      </c>
      <c r="Q44">
        <f t="shared" si="7"/>
        <v>43.414440085855986</v>
      </c>
    </row>
    <row r="45" spans="1:17" x14ac:dyDescent="0.45">
      <c r="A45" t="s">
        <v>78</v>
      </c>
      <c r="B45" t="s">
        <v>65</v>
      </c>
      <c r="C45" s="21">
        <v>50.574052442205684</v>
      </c>
      <c r="D45" s="21">
        <v>45.971759941087193</v>
      </c>
      <c r="E45" s="21">
        <v>50.5</v>
      </c>
      <c r="F45" s="21">
        <v>58.87296836916417</v>
      </c>
      <c r="G45" s="21">
        <v>52.799004279633031</v>
      </c>
      <c r="H45" s="21">
        <v>45.181989621771329</v>
      </c>
      <c r="I45" s="21">
        <v>41.432117723578664</v>
      </c>
      <c r="J45">
        <v>1</v>
      </c>
      <c r="K45">
        <f t="shared" si="1"/>
        <v>50.574052442205684</v>
      </c>
      <c r="L45">
        <f t="shared" si="2"/>
        <v>45.971759941087193</v>
      </c>
      <c r="M45">
        <f t="shared" si="3"/>
        <v>50.5</v>
      </c>
      <c r="N45">
        <f t="shared" si="4"/>
        <v>58.87296836916417</v>
      </c>
      <c r="O45">
        <f t="shared" si="5"/>
        <v>52.799004279633031</v>
      </c>
      <c r="P45">
        <f t="shared" si="6"/>
        <v>45.181989621771329</v>
      </c>
      <c r="Q45">
        <f t="shared" si="7"/>
        <v>41.432117723578664</v>
      </c>
    </row>
    <row r="46" spans="1:17" x14ac:dyDescent="0.45">
      <c r="A46" t="s">
        <v>80</v>
      </c>
      <c r="B46" t="s">
        <v>65</v>
      </c>
      <c r="C46" s="21">
        <v>32.499646742678038</v>
      </c>
      <c r="D46" s="21">
        <v>37.721304713412742</v>
      </c>
      <c r="E46" s="21">
        <v>43.040709502888504</v>
      </c>
      <c r="F46" s="21">
        <v>50.499999999999993</v>
      </c>
      <c r="G46" s="21">
        <v>54.079267043958623</v>
      </c>
      <c r="H46" s="21">
        <v>53.570700901449094</v>
      </c>
      <c r="I46" s="21">
        <v>54.952530480181316</v>
      </c>
      <c r="J46">
        <v>1</v>
      </c>
      <c r="K46">
        <f t="shared" si="1"/>
        <v>32.499646742678038</v>
      </c>
      <c r="L46">
        <f t="shared" si="2"/>
        <v>37.721304713412742</v>
      </c>
      <c r="M46">
        <f t="shared" si="3"/>
        <v>43.040709502888504</v>
      </c>
      <c r="N46">
        <f t="shared" si="4"/>
        <v>50.499999999999993</v>
      </c>
      <c r="O46">
        <f t="shared" si="5"/>
        <v>54.079267043958623</v>
      </c>
      <c r="P46">
        <f t="shared" si="6"/>
        <v>53.570700901449094</v>
      </c>
      <c r="Q46">
        <f t="shared" si="7"/>
        <v>54.952530480181316</v>
      </c>
    </row>
    <row r="47" spans="1:17" x14ac:dyDescent="0.45">
      <c r="A47" t="s">
        <v>81</v>
      </c>
      <c r="B47" t="s">
        <v>65</v>
      </c>
      <c r="C47" s="21">
        <v>19.663720068703086</v>
      </c>
      <c r="D47" s="21">
        <v>25.264529685103859</v>
      </c>
      <c r="E47" s="21">
        <v>30.376462044405052</v>
      </c>
      <c r="F47" s="21">
        <v>50.499999999999986</v>
      </c>
      <c r="G47" s="21">
        <v>51.307607630343881</v>
      </c>
      <c r="H47" s="21">
        <v>65.831560118120976</v>
      </c>
      <c r="I47" s="21">
        <v>75.129045681753368</v>
      </c>
      <c r="J47">
        <v>1</v>
      </c>
      <c r="K47">
        <f t="shared" si="1"/>
        <v>19.663720068703086</v>
      </c>
      <c r="L47">
        <f t="shared" si="2"/>
        <v>25.264529685103859</v>
      </c>
      <c r="M47">
        <f t="shared" si="3"/>
        <v>30.376462044405052</v>
      </c>
      <c r="N47">
        <f t="shared" si="4"/>
        <v>50.499999999999986</v>
      </c>
      <c r="O47">
        <f t="shared" si="5"/>
        <v>51.307607630343881</v>
      </c>
      <c r="P47">
        <f t="shared" si="6"/>
        <v>65.831560118120976</v>
      </c>
      <c r="Q47">
        <f t="shared" si="7"/>
        <v>75.129045681753368</v>
      </c>
    </row>
    <row r="48" spans="1:17" x14ac:dyDescent="0.45">
      <c r="A48" t="s">
        <v>83</v>
      </c>
      <c r="B48" t="s">
        <v>65</v>
      </c>
      <c r="C48" s="21">
        <v>27.944244609224178</v>
      </c>
      <c r="D48" s="21">
        <v>38.539617268803518</v>
      </c>
      <c r="E48" s="21">
        <v>38.911314319237619</v>
      </c>
      <c r="F48" s="21">
        <v>50.5</v>
      </c>
      <c r="G48" s="21">
        <v>69.209307889384704</v>
      </c>
      <c r="H48" s="21">
        <v>90.335900807970759</v>
      </c>
      <c r="I48" s="21">
        <v>100</v>
      </c>
      <c r="J48">
        <v>1</v>
      </c>
      <c r="K48">
        <f t="shared" si="1"/>
        <v>27.944244609224178</v>
      </c>
      <c r="L48">
        <f t="shared" si="2"/>
        <v>38.539617268803518</v>
      </c>
      <c r="M48">
        <f t="shared" si="3"/>
        <v>38.911314319237619</v>
      </c>
      <c r="N48">
        <f t="shared" si="4"/>
        <v>50.5</v>
      </c>
      <c r="O48">
        <f t="shared" si="5"/>
        <v>69.209307889384704</v>
      </c>
      <c r="P48">
        <f t="shared" si="6"/>
        <v>90.335900807970759</v>
      </c>
      <c r="Q48">
        <f t="shared" si="7"/>
        <v>100</v>
      </c>
    </row>
    <row r="49" spans="1:17" x14ac:dyDescent="0.45">
      <c r="A49" t="s">
        <v>276</v>
      </c>
      <c r="B49" t="s">
        <v>65</v>
      </c>
      <c r="C49" s="21">
        <v>47.079724386333652</v>
      </c>
      <c r="D49" s="21">
        <v>49.117545483351009</v>
      </c>
      <c r="E49" s="21">
        <v>50.500000000000014</v>
      </c>
      <c r="F49" s="21">
        <v>50.490730243398509</v>
      </c>
      <c r="G49" s="21">
        <v>51.879465083051215</v>
      </c>
      <c r="H49" s="21">
        <v>56.207102497835599</v>
      </c>
      <c r="I49" s="21">
        <v>54.475414273287917</v>
      </c>
      <c r="J49">
        <v>0</v>
      </c>
      <c r="K49">
        <f t="shared" si="1"/>
        <v>0</v>
      </c>
      <c r="L49">
        <f t="shared" si="2"/>
        <v>0</v>
      </c>
      <c r="M49">
        <f t="shared" si="3"/>
        <v>0</v>
      </c>
      <c r="N49">
        <f t="shared" si="4"/>
        <v>0</v>
      </c>
      <c r="O49">
        <f t="shared" si="5"/>
        <v>0</v>
      </c>
      <c r="P49">
        <f t="shared" si="6"/>
        <v>0</v>
      </c>
      <c r="Q49">
        <f t="shared" si="7"/>
        <v>0</v>
      </c>
    </row>
    <row r="50" spans="1:17" x14ac:dyDescent="0.45">
      <c r="A50" t="s">
        <v>86</v>
      </c>
      <c r="B50" t="s">
        <v>65</v>
      </c>
      <c r="C50" s="21">
        <v>72.22</v>
      </c>
      <c r="D50" s="21">
        <v>72.22</v>
      </c>
      <c r="E50" s="21">
        <v>70</v>
      </c>
      <c r="F50" s="21">
        <v>63.5</v>
      </c>
      <c r="G50" s="21">
        <v>63.5</v>
      </c>
      <c r="H50" s="21">
        <v>62.7</v>
      </c>
      <c r="I50" s="21">
        <v>63.7</v>
      </c>
      <c r="J50">
        <v>0.66</v>
      </c>
      <c r="K50">
        <f t="shared" si="1"/>
        <v>47.665199999999999</v>
      </c>
      <c r="L50">
        <f t="shared" si="2"/>
        <v>47.665199999999999</v>
      </c>
      <c r="M50">
        <f t="shared" si="3"/>
        <v>46.2</v>
      </c>
      <c r="N50">
        <f t="shared" si="4"/>
        <v>41.910000000000004</v>
      </c>
      <c r="O50">
        <f t="shared" si="5"/>
        <v>41.910000000000004</v>
      </c>
      <c r="P50">
        <f t="shared" si="6"/>
        <v>41.382000000000005</v>
      </c>
      <c r="Q50">
        <f t="shared" si="7"/>
        <v>42.042000000000002</v>
      </c>
    </row>
    <row r="51" spans="1:17" x14ac:dyDescent="0.45">
      <c r="A51" t="s">
        <v>87</v>
      </c>
      <c r="B51" t="s">
        <v>65</v>
      </c>
      <c r="C51" s="21">
        <v>67.89</v>
      </c>
      <c r="D51" s="21">
        <v>67.89</v>
      </c>
      <c r="E51" s="21">
        <v>66.8</v>
      </c>
      <c r="F51" s="21">
        <v>61.3</v>
      </c>
      <c r="G51" s="21">
        <v>61.3</v>
      </c>
      <c r="H51" s="21">
        <v>62.3</v>
      </c>
      <c r="I51" s="21">
        <v>61.6</v>
      </c>
      <c r="J51">
        <v>0.66</v>
      </c>
      <c r="K51">
        <f t="shared" si="1"/>
        <v>44.807400000000001</v>
      </c>
      <c r="L51">
        <f t="shared" si="2"/>
        <v>44.807400000000001</v>
      </c>
      <c r="M51">
        <f t="shared" si="3"/>
        <v>44.088000000000001</v>
      </c>
      <c r="N51">
        <f t="shared" si="4"/>
        <v>40.457999999999998</v>
      </c>
      <c r="O51">
        <f t="shared" si="5"/>
        <v>40.457999999999998</v>
      </c>
      <c r="P51">
        <f t="shared" si="6"/>
        <v>41.118000000000002</v>
      </c>
      <c r="Q51">
        <f t="shared" si="7"/>
        <v>40.656000000000006</v>
      </c>
    </row>
    <row r="52" spans="1:17" x14ac:dyDescent="0.45">
      <c r="A52" t="s">
        <v>88</v>
      </c>
      <c r="B52" t="s">
        <v>65</v>
      </c>
      <c r="C52" s="21">
        <v>76.69</v>
      </c>
      <c r="D52" s="21">
        <v>76.69</v>
      </c>
      <c r="E52" s="21">
        <v>78.5</v>
      </c>
      <c r="F52" s="21">
        <v>75.099999999999994</v>
      </c>
      <c r="G52" s="21">
        <v>75.099999999999994</v>
      </c>
      <c r="H52" s="21">
        <v>73.2</v>
      </c>
      <c r="I52" s="21">
        <v>71.400000000000006</v>
      </c>
      <c r="J52">
        <v>1</v>
      </c>
      <c r="K52">
        <f t="shared" si="1"/>
        <v>76.69</v>
      </c>
      <c r="L52">
        <f t="shared" si="2"/>
        <v>76.69</v>
      </c>
      <c r="M52">
        <f t="shared" si="3"/>
        <v>78.5</v>
      </c>
      <c r="N52">
        <f t="shared" si="4"/>
        <v>75.099999999999994</v>
      </c>
      <c r="O52">
        <f t="shared" si="5"/>
        <v>75.099999999999994</v>
      </c>
      <c r="P52">
        <f t="shared" si="6"/>
        <v>73.2</v>
      </c>
      <c r="Q52">
        <f t="shared" si="7"/>
        <v>71.400000000000006</v>
      </c>
    </row>
    <row r="53" spans="1:17" x14ac:dyDescent="0.45">
      <c r="A53" t="s">
        <v>89</v>
      </c>
      <c r="B53" t="s">
        <v>65</v>
      </c>
      <c r="C53" s="21">
        <v>52.17</v>
      </c>
      <c r="D53" s="21">
        <v>52.17</v>
      </c>
      <c r="E53" s="21">
        <v>52</v>
      </c>
      <c r="F53" s="21">
        <v>49.9</v>
      </c>
      <c r="G53" s="21">
        <v>49.9</v>
      </c>
      <c r="H53" s="21">
        <v>50.7</v>
      </c>
      <c r="I53" s="21">
        <v>51.5</v>
      </c>
      <c r="J53">
        <v>1</v>
      </c>
      <c r="K53">
        <f t="shared" si="1"/>
        <v>52.17</v>
      </c>
      <c r="L53">
        <f t="shared" si="2"/>
        <v>52.17</v>
      </c>
      <c r="M53">
        <f t="shared" si="3"/>
        <v>52</v>
      </c>
      <c r="N53">
        <f t="shared" si="4"/>
        <v>49.9</v>
      </c>
      <c r="O53">
        <f t="shared" si="5"/>
        <v>49.9</v>
      </c>
      <c r="P53">
        <f t="shared" si="6"/>
        <v>50.7</v>
      </c>
      <c r="Q53">
        <f t="shared" si="7"/>
        <v>51.5</v>
      </c>
    </row>
    <row r="54" spans="1:17" x14ac:dyDescent="0.45">
      <c r="A54" t="s">
        <v>90</v>
      </c>
      <c r="B54" t="s">
        <v>65</v>
      </c>
      <c r="C54" s="21">
        <v>27.757213642098172</v>
      </c>
      <c r="D54" s="21">
        <v>38.362406794961338</v>
      </c>
      <c r="E54" s="21">
        <v>38.69756966395115</v>
      </c>
      <c r="F54" s="21">
        <v>50.5</v>
      </c>
      <c r="G54" s="21">
        <v>69.652219253034602</v>
      </c>
      <c r="H54" s="21">
        <v>93.252450902580904</v>
      </c>
      <c r="I54" s="21">
        <v>100</v>
      </c>
      <c r="J54">
        <v>1</v>
      </c>
      <c r="K54">
        <f t="shared" si="1"/>
        <v>27.757213642098172</v>
      </c>
      <c r="L54">
        <f t="shared" si="2"/>
        <v>38.362406794961338</v>
      </c>
      <c r="M54">
        <f t="shared" si="3"/>
        <v>38.69756966395115</v>
      </c>
      <c r="N54">
        <f t="shared" si="4"/>
        <v>50.5</v>
      </c>
      <c r="O54">
        <f t="shared" si="5"/>
        <v>69.652219253034602</v>
      </c>
      <c r="P54">
        <f t="shared" si="6"/>
        <v>93.252450902580904</v>
      </c>
      <c r="Q54">
        <f t="shared" si="7"/>
        <v>100</v>
      </c>
    </row>
    <row r="55" spans="1:17" x14ac:dyDescent="0.45">
      <c r="A55" t="s">
        <v>277</v>
      </c>
      <c r="B55" t="s">
        <v>65</v>
      </c>
      <c r="C55" s="21">
        <v>28.070138272861783</v>
      </c>
      <c r="D55" s="21">
        <v>35.361368114930166</v>
      </c>
      <c r="E55" s="21">
        <v>45.534934365497726</v>
      </c>
      <c r="F55" s="21">
        <v>50.55172568627377</v>
      </c>
      <c r="G55" s="21">
        <v>50.500000000000014</v>
      </c>
      <c r="H55" s="21">
        <v>50.920999391963207</v>
      </c>
      <c r="I55" s="21">
        <v>58.879342973662531</v>
      </c>
      <c r="J55">
        <v>1</v>
      </c>
      <c r="K55">
        <f t="shared" si="1"/>
        <v>28.070138272861783</v>
      </c>
      <c r="L55">
        <f t="shared" si="2"/>
        <v>35.361368114930166</v>
      </c>
      <c r="M55">
        <f t="shared" si="3"/>
        <v>45.534934365497726</v>
      </c>
      <c r="N55">
        <f t="shared" si="4"/>
        <v>50.55172568627377</v>
      </c>
      <c r="O55">
        <f t="shared" si="5"/>
        <v>50.500000000000014</v>
      </c>
      <c r="P55">
        <f t="shared" si="6"/>
        <v>50.920999391963207</v>
      </c>
      <c r="Q55">
        <f t="shared" si="7"/>
        <v>58.879342973662531</v>
      </c>
    </row>
    <row r="56" spans="1:17" x14ac:dyDescent="0.45">
      <c r="A56" t="s">
        <v>92</v>
      </c>
      <c r="B56" t="s">
        <v>65</v>
      </c>
      <c r="C56" s="21">
        <v>44.423273657288995</v>
      </c>
      <c r="D56" s="21">
        <v>45.689258312020456</v>
      </c>
      <c r="E56" s="21">
        <v>46.575447570332464</v>
      </c>
      <c r="F56" s="21">
        <v>50.499999999999986</v>
      </c>
      <c r="G56" s="21">
        <v>52.272378516624016</v>
      </c>
      <c r="H56" s="21">
        <v>51.765984654731447</v>
      </c>
      <c r="I56" s="21">
        <v>52.525575447570311</v>
      </c>
      <c r="J56">
        <v>1</v>
      </c>
      <c r="K56">
        <f t="shared" si="1"/>
        <v>44.423273657288995</v>
      </c>
      <c r="L56">
        <f t="shared" si="2"/>
        <v>45.689258312020456</v>
      </c>
      <c r="M56">
        <f t="shared" si="3"/>
        <v>46.575447570332464</v>
      </c>
      <c r="N56">
        <f t="shared" si="4"/>
        <v>50.499999999999986</v>
      </c>
      <c r="O56">
        <f t="shared" si="5"/>
        <v>52.272378516624016</v>
      </c>
      <c r="P56">
        <f t="shared" si="6"/>
        <v>51.765984654731447</v>
      </c>
      <c r="Q56">
        <f t="shared" si="7"/>
        <v>52.525575447570311</v>
      </c>
    </row>
    <row r="57" spans="1:17" x14ac:dyDescent="0.45">
      <c r="A57" t="s">
        <v>95</v>
      </c>
      <c r="B57" t="s">
        <v>65</v>
      </c>
      <c r="C57" s="21">
        <v>35.269230769230774</v>
      </c>
      <c r="D57" s="21">
        <v>58.115384615384627</v>
      </c>
      <c r="E57" s="21">
        <v>23.846153846153868</v>
      </c>
      <c r="F57" s="21">
        <v>39.076923076923094</v>
      </c>
      <c r="G57" s="21">
        <v>61.923076923076934</v>
      </c>
      <c r="H57" s="21">
        <v>61.923076923076934</v>
      </c>
      <c r="I57" s="21">
        <v>50.500000000000014</v>
      </c>
      <c r="J57">
        <v>1</v>
      </c>
      <c r="K57">
        <f t="shared" si="1"/>
        <v>35.269230769230774</v>
      </c>
      <c r="L57">
        <f t="shared" si="2"/>
        <v>58.115384615384627</v>
      </c>
      <c r="M57">
        <f t="shared" si="3"/>
        <v>23.846153846153868</v>
      </c>
      <c r="N57">
        <f t="shared" si="4"/>
        <v>39.076923076923094</v>
      </c>
      <c r="O57">
        <f t="shared" si="5"/>
        <v>61.923076923076934</v>
      </c>
      <c r="P57">
        <f t="shared" si="6"/>
        <v>61.923076923076934</v>
      </c>
      <c r="Q57">
        <f t="shared" si="7"/>
        <v>50.500000000000014</v>
      </c>
    </row>
    <row r="58" spans="1:17" x14ac:dyDescent="0.45">
      <c r="A58" t="s">
        <v>326</v>
      </c>
      <c r="B58" t="s">
        <v>65</v>
      </c>
      <c r="C58" s="21">
        <v>45.446107753608572</v>
      </c>
      <c r="D58" s="21">
        <v>36.720473831951779</v>
      </c>
      <c r="E58" s="21">
        <v>51.581031718741471</v>
      </c>
      <c r="F58" s="21">
        <v>50.5</v>
      </c>
      <c r="G58" s="21">
        <v>45.175147178339159</v>
      </c>
      <c r="H58" s="21">
        <v>56.267855895607489</v>
      </c>
      <c r="I58" s="21">
        <v>58.166137201411573</v>
      </c>
      <c r="J58">
        <v>1</v>
      </c>
      <c r="K58">
        <f t="shared" si="1"/>
        <v>45.446107753608572</v>
      </c>
      <c r="L58">
        <f t="shared" si="2"/>
        <v>36.720473831951779</v>
      </c>
      <c r="M58">
        <f t="shared" si="3"/>
        <v>51.581031718741471</v>
      </c>
      <c r="N58">
        <f t="shared" si="4"/>
        <v>50.5</v>
      </c>
      <c r="O58">
        <f t="shared" si="5"/>
        <v>45.175147178339159</v>
      </c>
      <c r="P58">
        <f t="shared" si="6"/>
        <v>56.267855895607489</v>
      </c>
      <c r="Q58">
        <f t="shared" si="7"/>
        <v>58.166137201411573</v>
      </c>
    </row>
    <row r="59" spans="1:17" x14ac:dyDescent="0.45">
      <c r="A59" t="s">
        <v>99</v>
      </c>
      <c r="B59" t="s">
        <v>65</v>
      </c>
      <c r="C59" s="21">
        <v>90.565274151436043</v>
      </c>
      <c r="D59" s="21">
        <v>77.82244931861301</v>
      </c>
      <c r="E59" s="21">
        <v>65.079624485789964</v>
      </c>
      <c r="F59" s="21">
        <v>52.336799652966924</v>
      </c>
      <c r="G59" s="21">
        <v>39.593974820143885</v>
      </c>
      <c r="H59" s="21">
        <v>45.913237410071943</v>
      </c>
      <c r="I59" s="21">
        <v>52.232500000000009</v>
      </c>
      <c r="J59">
        <v>0.66</v>
      </c>
      <c r="K59">
        <f t="shared" si="1"/>
        <v>59.773080939947789</v>
      </c>
      <c r="L59">
        <f t="shared" si="2"/>
        <v>51.362816550284592</v>
      </c>
      <c r="M59">
        <f t="shared" si="3"/>
        <v>42.95255216062138</v>
      </c>
      <c r="N59">
        <f t="shared" si="4"/>
        <v>34.542287770958168</v>
      </c>
      <c r="O59">
        <f t="shared" si="5"/>
        <v>26.132023381294964</v>
      </c>
      <c r="P59">
        <f t="shared" si="6"/>
        <v>30.302736690647485</v>
      </c>
      <c r="Q59">
        <f t="shared" si="7"/>
        <v>34.473450000000007</v>
      </c>
    </row>
    <row r="60" spans="1:17" x14ac:dyDescent="0.45">
      <c r="A60" t="s">
        <v>102</v>
      </c>
      <c r="B60" t="s">
        <v>65</v>
      </c>
      <c r="C60" s="21">
        <v>1.4544758990053654</v>
      </c>
      <c r="D60" s="21">
        <v>10.867755658431237</v>
      </c>
      <c r="E60" s="21">
        <v>20.281035417857112</v>
      </c>
      <c r="F60" s="21">
        <v>29.694315177282981</v>
      </c>
      <c r="G60" s="21">
        <v>39.107594936708871</v>
      </c>
      <c r="H60" s="21">
        <v>31.748172468354429</v>
      </c>
      <c r="I60" s="21">
        <v>24.388750000000009</v>
      </c>
      <c r="J60">
        <v>0.66</v>
      </c>
      <c r="K60">
        <f t="shared" si="1"/>
        <v>0.9599540933435412</v>
      </c>
      <c r="L60">
        <f t="shared" si="2"/>
        <v>7.1727187345646168</v>
      </c>
      <c r="M60">
        <f t="shared" si="3"/>
        <v>13.385483375785695</v>
      </c>
      <c r="N60">
        <f t="shared" si="4"/>
        <v>19.598248017006767</v>
      </c>
      <c r="O60">
        <f t="shared" si="5"/>
        <v>25.811012658227856</v>
      </c>
      <c r="P60">
        <f t="shared" si="6"/>
        <v>20.953793829113923</v>
      </c>
      <c r="Q60">
        <f t="shared" si="7"/>
        <v>16.096575000000005</v>
      </c>
    </row>
    <row r="61" spans="1:17" x14ac:dyDescent="0.45">
      <c r="A61" t="s">
        <v>103</v>
      </c>
      <c r="B61" t="s">
        <v>65</v>
      </c>
      <c r="C61" s="21">
        <v>12.314759036144583</v>
      </c>
      <c r="D61" s="21">
        <v>38.909211169000336</v>
      </c>
      <c r="E61" s="21">
        <v>65.503663301856093</v>
      </c>
      <c r="F61" s="21">
        <v>92.098115434711843</v>
      </c>
      <c r="G61" s="21">
        <v>100</v>
      </c>
      <c r="H61" s="21">
        <v>86.638158783783794</v>
      </c>
      <c r="I61" s="21">
        <v>54.583750000000002</v>
      </c>
      <c r="J61">
        <v>0.66</v>
      </c>
      <c r="K61">
        <f t="shared" si="1"/>
        <v>8.127740963855425</v>
      </c>
      <c r="L61">
        <f t="shared" si="2"/>
        <v>25.680079371540224</v>
      </c>
      <c r="M61">
        <f t="shared" si="3"/>
        <v>43.232417779225024</v>
      </c>
      <c r="N61">
        <f t="shared" si="4"/>
        <v>60.784756186909817</v>
      </c>
      <c r="O61">
        <f t="shared" si="5"/>
        <v>66</v>
      </c>
      <c r="P61">
        <f t="shared" si="6"/>
        <v>57.181184797297306</v>
      </c>
      <c r="Q61">
        <f t="shared" si="7"/>
        <v>36.025275000000001</v>
      </c>
    </row>
    <row r="62" spans="1:17" x14ac:dyDescent="0.45">
      <c r="A62" t="s">
        <v>104</v>
      </c>
      <c r="B62" t="s">
        <v>65</v>
      </c>
      <c r="C62" s="21">
        <v>19.291118421052623</v>
      </c>
      <c r="D62" s="21">
        <v>17.863014741715389</v>
      </c>
      <c r="E62" s="21">
        <v>16.434911062378156</v>
      </c>
      <c r="F62" s="21">
        <v>15.006807383040918</v>
      </c>
      <c r="G62" s="21">
        <v>13.578703703703702</v>
      </c>
      <c r="H62" s="21">
        <v>12.363101851851843</v>
      </c>
      <c r="I62" s="21">
        <v>11.147500000000004</v>
      </c>
      <c r="J62">
        <v>0.66</v>
      </c>
      <c r="K62">
        <f t="shared" si="1"/>
        <v>12.732138157894731</v>
      </c>
      <c r="L62">
        <f t="shared" si="2"/>
        <v>11.789589729532157</v>
      </c>
      <c r="M62">
        <f t="shared" si="3"/>
        <v>10.847041301169583</v>
      </c>
      <c r="N62">
        <f t="shared" si="4"/>
        <v>9.9044928728070065</v>
      </c>
      <c r="O62">
        <f t="shared" si="5"/>
        <v>8.9619444444444447</v>
      </c>
      <c r="P62">
        <f t="shared" si="6"/>
        <v>8.1596472222222172</v>
      </c>
      <c r="Q62">
        <f t="shared" si="7"/>
        <v>7.3573500000000029</v>
      </c>
    </row>
    <row r="63" spans="1:17" x14ac:dyDescent="0.45">
      <c r="A63" t="s">
        <v>105</v>
      </c>
      <c r="B63" t="s">
        <v>65</v>
      </c>
      <c r="C63" s="21">
        <v>20.706266907123531</v>
      </c>
      <c r="D63" s="21">
        <v>24.782676370818841</v>
      </c>
      <c r="E63" s="21">
        <v>28.859085834514154</v>
      </c>
      <c r="F63" s="21">
        <v>32.935495298209467</v>
      </c>
      <c r="G63" s="21">
        <v>37.011904761904766</v>
      </c>
      <c r="H63" s="21">
        <v>33.979702380952382</v>
      </c>
      <c r="I63" s="21">
        <v>30.947500000000005</v>
      </c>
      <c r="J63">
        <v>0.66</v>
      </c>
      <c r="K63">
        <f t="shared" si="1"/>
        <v>13.666136158701532</v>
      </c>
      <c r="L63">
        <f t="shared" si="2"/>
        <v>16.356566404740434</v>
      </c>
      <c r="M63">
        <f t="shared" si="3"/>
        <v>19.046996650779342</v>
      </c>
      <c r="N63">
        <f t="shared" si="4"/>
        <v>21.737426896818249</v>
      </c>
      <c r="O63">
        <f t="shared" si="5"/>
        <v>24.427857142857146</v>
      </c>
      <c r="P63">
        <f t="shared" si="6"/>
        <v>22.426603571428572</v>
      </c>
      <c r="Q63">
        <f t="shared" si="7"/>
        <v>20.425350000000005</v>
      </c>
    </row>
    <row r="64" spans="1:17" x14ac:dyDescent="0.45">
      <c r="A64" t="s">
        <v>106</v>
      </c>
      <c r="B64" t="s">
        <v>65</v>
      </c>
      <c r="C64" s="21">
        <v>1</v>
      </c>
      <c r="D64" s="21">
        <v>1</v>
      </c>
      <c r="E64" s="21">
        <v>1</v>
      </c>
      <c r="F64" s="21">
        <v>1</v>
      </c>
      <c r="G64" s="21">
        <v>1</v>
      </c>
      <c r="H64" s="21">
        <v>1</v>
      </c>
      <c r="I64" s="21">
        <v>1</v>
      </c>
      <c r="J64">
        <v>0.66</v>
      </c>
      <c r="K64">
        <f t="shared" si="1"/>
        <v>0.66</v>
      </c>
      <c r="L64">
        <f t="shared" si="2"/>
        <v>0.66</v>
      </c>
      <c r="M64">
        <f t="shared" si="3"/>
        <v>0.66</v>
      </c>
      <c r="N64">
        <f t="shared" si="4"/>
        <v>0.66</v>
      </c>
      <c r="O64">
        <f t="shared" si="5"/>
        <v>0.66</v>
      </c>
      <c r="P64">
        <f t="shared" si="6"/>
        <v>0.66</v>
      </c>
      <c r="Q64">
        <f t="shared" si="7"/>
        <v>0.66</v>
      </c>
    </row>
    <row r="65" spans="1:25" x14ac:dyDescent="0.45">
      <c r="A65" t="s">
        <v>107</v>
      </c>
      <c r="B65" t="s">
        <v>65</v>
      </c>
      <c r="C65" s="21">
        <v>93.349722991689774</v>
      </c>
      <c r="D65" s="21">
        <v>90.219753815073929</v>
      </c>
      <c r="E65" s="21">
        <v>87.08978463845807</v>
      </c>
      <c r="F65" s="21">
        <v>83.959815461842197</v>
      </c>
      <c r="G65" s="21">
        <v>80.82984628522631</v>
      </c>
      <c r="H65" s="21">
        <v>94.003673142613152</v>
      </c>
      <c r="I65" s="21">
        <v>100</v>
      </c>
      <c r="J65">
        <v>0.66</v>
      </c>
      <c r="K65">
        <f t="shared" si="1"/>
        <v>61.610817174515255</v>
      </c>
      <c r="L65">
        <f t="shared" si="2"/>
        <v>59.545037517948799</v>
      </c>
      <c r="M65">
        <f t="shared" si="3"/>
        <v>57.47925786138233</v>
      </c>
      <c r="N65">
        <f t="shared" si="4"/>
        <v>55.413478204815853</v>
      </c>
      <c r="O65">
        <f t="shared" si="5"/>
        <v>53.347698548249369</v>
      </c>
      <c r="P65">
        <f t="shared" si="6"/>
        <v>62.042424274124684</v>
      </c>
      <c r="Q65">
        <f t="shared" si="7"/>
        <v>66</v>
      </c>
    </row>
    <row r="66" spans="1:25" x14ac:dyDescent="0.45">
      <c r="A66" t="s">
        <v>108</v>
      </c>
      <c r="B66" t="s">
        <v>65</v>
      </c>
      <c r="C66" s="21">
        <v>1</v>
      </c>
      <c r="D66" s="21">
        <v>1</v>
      </c>
      <c r="E66" s="21">
        <v>1</v>
      </c>
      <c r="F66" s="21">
        <v>1</v>
      </c>
      <c r="G66" s="21">
        <v>1</v>
      </c>
      <c r="H66" s="21">
        <v>1</v>
      </c>
      <c r="I66" s="21">
        <v>1</v>
      </c>
      <c r="J66">
        <v>0.66</v>
      </c>
      <c r="K66">
        <f t="shared" si="1"/>
        <v>0.66</v>
      </c>
      <c r="L66">
        <f t="shared" si="2"/>
        <v>0.66</v>
      </c>
      <c r="M66">
        <f t="shared" si="3"/>
        <v>0.66</v>
      </c>
      <c r="N66">
        <f t="shared" si="4"/>
        <v>0.66</v>
      </c>
      <c r="O66">
        <f t="shared" si="5"/>
        <v>0.66</v>
      </c>
      <c r="P66">
        <f t="shared" si="6"/>
        <v>0.66</v>
      </c>
      <c r="Q66">
        <f t="shared" si="7"/>
        <v>0.66</v>
      </c>
    </row>
    <row r="67" spans="1:25" x14ac:dyDescent="0.45">
      <c r="A67" t="s">
        <v>109</v>
      </c>
      <c r="B67" t="s">
        <v>65</v>
      </c>
      <c r="C67" s="21">
        <v>14.902993854277042</v>
      </c>
      <c r="D67" s="21">
        <v>46.706563060800441</v>
      </c>
      <c r="E67" s="21">
        <v>54.323624588442456</v>
      </c>
      <c r="F67" s="21">
        <v>64.884090578852522</v>
      </c>
      <c r="G67" s="21">
        <v>57.213236464393496</v>
      </c>
      <c r="H67" s="21">
        <v>50.5</v>
      </c>
      <c r="I67" s="21">
        <v>22.772226698736141</v>
      </c>
      <c r="J67">
        <v>1</v>
      </c>
      <c r="K67">
        <f t="shared" ref="K67:K129" si="10">C67*$J67</f>
        <v>14.902993854277042</v>
      </c>
      <c r="L67">
        <f t="shared" ref="L67:L129" si="11">D67*$J67</f>
        <v>46.706563060800441</v>
      </c>
      <c r="M67">
        <f t="shared" ref="M67:M125" si="12">E67*$J67</f>
        <v>54.323624588442456</v>
      </c>
      <c r="N67">
        <f t="shared" ref="N67:N129" si="13">F67*$J67</f>
        <v>64.884090578852522</v>
      </c>
      <c r="O67">
        <f t="shared" ref="O67:O129" si="14">G67*$J67</f>
        <v>57.213236464393496</v>
      </c>
      <c r="P67">
        <f t="shared" ref="P67:P129" si="15">H67*$J67</f>
        <v>50.5</v>
      </c>
      <c r="Q67">
        <f t="shared" ref="Q67:Q129" si="16">I67*$J67</f>
        <v>22.772226698736141</v>
      </c>
      <c r="R67">
        <f>SUM(J33:J67)</f>
        <v>29.580000000000002</v>
      </c>
      <c r="S67">
        <f>SUM(K33:K67)/$R67</f>
        <v>40.238663181645229</v>
      </c>
      <c r="T67">
        <f t="shared" ref="T67:Y67" si="17">SUM(L33:L67)/$R67</f>
        <v>45.342881841567312</v>
      </c>
      <c r="U67">
        <f t="shared" si="17"/>
        <v>45.345583414817192</v>
      </c>
      <c r="V67">
        <f t="shared" si="17"/>
        <v>50.158394649998705</v>
      </c>
      <c r="W67">
        <f t="shared" si="17"/>
        <v>53.752987547277527</v>
      </c>
      <c r="X67">
        <f t="shared" si="17"/>
        <v>54.553848982019943</v>
      </c>
      <c r="Y67">
        <f t="shared" si="17"/>
        <v>52.49544661891413</v>
      </c>
    </row>
    <row r="68" spans="1:25" x14ac:dyDescent="0.45">
      <c r="A68" t="s">
        <v>282</v>
      </c>
      <c r="B68" t="s">
        <v>112</v>
      </c>
      <c r="C68" s="21">
        <v>49.71440489101996</v>
      </c>
      <c r="D68" s="21">
        <v>52.320239995901154</v>
      </c>
      <c r="E68" s="21">
        <v>50.5</v>
      </c>
      <c r="F68" s="21">
        <v>60.102970741464681</v>
      </c>
      <c r="G68" s="21">
        <v>69.594706226355541</v>
      </c>
      <c r="H68" s="21">
        <v>49.434707993334001</v>
      </c>
      <c r="I68" s="21">
        <v>49.434707993334001</v>
      </c>
      <c r="J68">
        <v>0.66</v>
      </c>
      <c r="K68">
        <f t="shared" si="10"/>
        <v>32.811507228073175</v>
      </c>
      <c r="L68">
        <f t="shared" si="11"/>
        <v>34.531358397294767</v>
      </c>
      <c r="M68">
        <f t="shared" si="12"/>
        <v>33.33</v>
      </c>
      <c r="N68">
        <f t="shared" si="13"/>
        <v>39.667960689366694</v>
      </c>
      <c r="O68">
        <f t="shared" si="14"/>
        <v>45.932506109394659</v>
      </c>
      <c r="P68">
        <f t="shared" si="15"/>
        <v>32.626907275600445</v>
      </c>
      <c r="Q68">
        <f t="shared" si="16"/>
        <v>32.626907275600445</v>
      </c>
    </row>
    <row r="69" spans="1:25" x14ac:dyDescent="0.45">
      <c r="A69" t="s">
        <v>283</v>
      </c>
      <c r="B69" t="s">
        <v>112</v>
      </c>
      <c r="C69" s="21">
        <v>10.71959375355479</v>
      </c>
      <c r="D69" s="21">
        <v>4.0174247731220945</v>
      </c>
      <c r="E69" s="21">
        <v>55.87627676418704</v>
      </c>
      <c r="F69" s="21">
        <v>55.535697789880281</v>
      </c>
      <c r="G69" s="21">
        <v>25.740442217240691</v>
      </c>
      <c r="H69" s="21">
        <v>50.5</v>
      </c>
      <c r="I69" s="21">
        <v>64.262838866514443</v>
      </c>
      <c r="J69">
        <v>0.66</v>
      </c>
      <c r="K69">
        <f t="shared" si="10"/>
        <v>7.0749318773461614</v>
      </c>
      <c r="L69">
        <f t="shared" si="11"/>
        <v>2.6515003502605823</v>
      </c>
      <c r="M69">
        <f t="shared" si="12"/>
        <v>36.878342664363451</v>
      </c>
      <c r="N69">
        <f t="shared" si="13"/>
        <v>36.653560541320985</v>
      </c>
      <c r="O69">
        <f t="shared" si="14"/>
        <v>16.988691863378858</v>
      </c>
      <c r="P69">
        <f t="shared" si="15"/>
        <v>33.33</v>
      </c>
      <c r="Q69">
        <f t="shared" si="16"/>
        <v>42.413473651899537</v>
      </c>
    </row>
    <row r="70" spans="1:25" x14ac:dyDescent="0.45">
      <c r="A70" t="s">
        <v>285</v>
      </c>
      <c r="B70" t="s">
        <v>112</v>
      </c>
      <c r="C70" s="21">
        <v>58.304027162182301</v>
      </c>
      <c r="D70" s="21">
        <v>98.238437472111912</v>
      </c>
      <c r="E70" s="21">
        <v>50.499999999999993</v>
      </c>
      <c r="F70" s="21">
        <v>53.091038927919357</v>
      </c>
      <c r="G70" s="21">
        <v>42.161939465527844</v>
      </c>
      <c r="H70" s="21">
        <v>47.362759725522537</v>
      </c>
      <c r="I70" s="21">
        <v>46.857042183858233</v>
      </c>
      <c r="J70">
        <v>0.66</v>
      </c>
      <c r="K70">
        <f t="shared" si="10"/>
        <v>38.480657927040319</v>
      </c>
      <c r="L70">
        <f t="shared" si="11"/>
        <v>64.83736873159387</v>
      </c>
      <c r="M70">
        <f t="shared" si="12"/>
        <v>33.33</v>
      </c>
      <c r="N70">
        <f t="shared" si="13"/>
        <v>35.040085692426779</v>
      </c>
      <c r="O70">
        <f t="shared" si="14"/>
        <v>27.826880047248377</v>
      </c>
      <c r="P70">
        <f t="shared" si="15"/>
        <v>31.259421418844877</v>
      </c>
      <c r="Q70">
        <f t="shared" si="16"/>
        <v>30.925647841346436</v>
      </c>
    </row>
    <row r="71" spans="1:25" x14ac:dyDescent="0.45">
      <c r="A71" t="s">
        <v>118</v>
      </c>
      <c r="B71" t="s">
        <v>112</v>
      </c>
      <c r="C71" s="21">
        <v>12.647058823529417</v>
      </c>
      <c r="D71" s="21">
        <v>100</v>
      </c>
      <c r="E71" s="21">
        <v>100</v>
      </c>
      <c r="F71" s="21">
        <v>100</v>
      </c>
      <c r="G71" s="21">
        <v>50.500000000000014</v>
      </c>
      <c r="H71" s="21">
        <v>1</v>
      </c>
      <c r="I71" s="21">
        <v>1</v>
      </c>
      <c r="J71">
        <v>0.66</v>
      </c>
      <c r="K71">
        <f t="shared" si="10"/>
        <v>8.3470588235294159</v>
      </c>
      <c r="L71">
        <f t="shared" si="11"/>
        <v>66</v>
      </c>
      <c r="M71">
        <f t="shared" si="12"/>
        <v>66</v>
      </c>
      <c r="N71">
        <f t="shared" si="13"/>
        <v>66</v>
      </c>
      <c r="O71">
        <f t="shared" si="14"/>
        <v>33.330000000000013</v>
      </c>
      <c r="P71">
        <f t="shared" si="15"/>
        <v>0.66</v>
      </c>
      <c r="Q71">
        <f t="shared" si="16"/>
        <v>0.66</v>
      </c>
    </row>
    <row r="72" spans="1:25" x14ac:dyDescent="0.45">
      <c r="A72" t="s">
        <v>120</v>
      </c>
      <c r="B72" t="s">
        <v>112</v>
      </c>
      <c r="C72" s="21">
        <v>36.168987847669115</v>
      </c>
      <c r="D72" s="21">
        <v>39.394639155704283</v>
      </c>
      <c r="E72" s="21">
        <v>49.115182962350815</v>
      </c>
      <c r="F72" s="21">
        <v>50.500000000000014</v>
      </c>
      <c r="G72" s="21">
        <v>51.958584531180158</v>
      </c>
      <c r="H72" s="21">
        <v>69.806964897782251</v>
      </c>
      <c r="I72" s="21">
        <v>70.393751778142075</v>
      </c>
      <c r="J72">
        <v>0.66</v>
      </c>
      <c r="K72">
        <f t="shared" si="10"/>
        <v>23.871531979461619</v>
      </c>
      <c r="L72">
        <f t="shared" si="11"/>
        <v>26.000461842764828</v>
      </c>
      <c r="M72">
        <f t="shared" si="12"/>
        <v>32.416020755151543</v>
      </c>
      <c r="N72">
        <f t="shared" si="13"/>
        <v>33.330000000000013</v>
      </c>
      <c r="O72">
        <f t="shared" si="14"/>
        <v>34.292665790578909</v>
      </c>
      <c r="P72">
        <f t="shared" si="15"/>
        <v>46.072596832536291</v>
      </c>
      <c r="Q72">
        <f t="shared" si="16"/>
        <v>46.459876173573775</v>
      </c>
    </row>
    <row r="73" spans="1:25" x14ac:dyDescent="0.45">
      <c r="A73" t="s">
        <v>123</v>
      </c>
      <c r="B73" t="s">
        <v>112</v>
      </c>
      <c r="C73" s="21">
        <v>41.071428571428548</v>
      </c>
      <c r="D73" s="21">
        <v>36.357142857142833</v>
      </c>
      <c r="E73" s="21">
        <v>41.071428571428548</v>
      </c>
      <c r="F73" s="21">
        <v>50.499999999999986</v>
      </c>
      <c r="G73" s="21">
        <v>99.214285714285708</v>
      </c>
      <c r="H73" s="21">
        <v>99.214285714285708</v>
      </c>
      <c r="I73" s="21">
        <v>100</v>
      </c>
      <c r="J73">
        <v>1</v>
      </c>
      <c r="K73">
        <f t="shared" si="10"/>
        <v>41.071428571428548</v>
      </c>
      <c r="L73">
        <f t="shared" si="11"/>
        <v>36.357142857142833</v>
      </c>
      <c r="M73">
        <f t="shared" si="12"/>
        <v>41.071428571428548</v>
      </c>
      <c r="N73">
        <f t="shared" si="13"/>
        <v>50.499999999999986</v>
      </c>
      <c r="O73">
        <f t="shared" si="14"/>
        <v>99.214285714285708</v>
      </c>
      <c r="P73">
        <f t="shared" si="15"/>
        <v>99.214285714285708</v>
      </c>
      <c r="Q73">
        <f t="shared" si="16"/>
        <v>100</v>
      </c>
    </row>
    <row r="74" spans="1:25" x14ac:dyDescent="0.45">
      <c r="A74" t="s">
        <v>124</v>
      </c>
      <c r="B74" t="s">
        <v>112</v>
      </c>
      <c r="C74" s="21">
        <v>30.464285714285737</v>
      </c>
      <c r="D74" s="21">
        <v>30.464285714285737</v>
      </c>
      <c r="E74" s="21">
        <v>32.821428571428584</v>
      </c>
      <c r="F74" s="21">
        <v>50.500000000000014</v>
      </c>
      <c r="G74" s="21">
        <v>84.678571428571431</v>
      </c>
      <c r="H74" s="21">
        <v>90.571428571428584</v>
      </c>
      <c r="I74" s="21">
        <v>100</v>
      </c>
      <c r="J74">
        <v>1</v>
      </c>
      <c r="K74">
        <f t="shared" si="10"/>
        <v>30.464285714285737</v>
      </c>
      <c r="L74">
        <f t="shared" si="11"/>
        <v>30.464285714285737</v>
      </c>
      <c r="M74">
        <f t="shared" si="12"/>
        <v>32.821428571428584</v>
      </c>
      <c r="N74">
        <f t="shared" si="13"/>
        <v>50.500000000000014</v>
      </c>
      <c r="O74">
        <f t="shared" si="14"/>
        <v>84.678571428571431</v>
      </c>
      <c r="P74">
        <f t="shared" si="15"/>
        <v>90.571428571428584</v>
      </c>
      <c r="Q74">
        <f t="shared" si="16"/>
        <v>100</v>
      </c>
    </row>
    <row r="75" spans="1:25" x14ac:dyDescent="0.45">
      <c r="A75" t="s">
        <v>125</v>
      </c>
      <c r="B75" t="s">
        <v>112</v>
      </c>
      <c r="C75" s="21">
        <v>50.5</v>
      </c>
      <c r="D75" s="21">
        <v>50.5</v>
      </c>
      <c r="E75" s="21">
        <v>49.423913043478244</v>
      </c>
      <c r="F75" s="21">
        <v>49.423913043478244</v>
      </c>
      <c r="G75" s="21">
        <v>50.5</v>
      </c>
      <c r="H75" s="21">
        <v>50.5</v>
      </c>
      <c r="I75" s="21">
        <v>49.423913043478244</v>
      </c>
      <c r="J75">
        <v>1</v>
      </c>
      <c r="K75">
        <f t="shared" si="10"/>
        <v>50.5</v>
      </c>
      <c r="L75">
        <f t="shared" si="11"/>
        <v>50.5</v>
      </c>
      <c r="M75">
        <f t="shared" si="12"/>
        <v>49.423913043478244</v>
      </c>
      <c r="N75">
        <f t="shared" si="13"/>
        <v>49.423913043478244</v>
      </c>
      <c r="O75">
        <f t="shared" si="14"/>
        <v>50.5</v>
      </c>
      <c r="P75">
        <f t="shared" si="15"/>
        <v>50.5</v>
      </c>
      <c r="Q75">
        <f t="shared" si="16"/>
        <v>49.423913043478244</v>
      </c>
    </row>
    <row r="76" spans="1:25" x14ac:dyDescent="0.45">
      <c r="A76" t="s">
        <v>127</v>
      </c>
      <c r="B76" t="s">
        <v>112</v>
      </c>
      <c r="C76" s="21">
        <v>35.64</v>
      </c>
      <c r="D76" s="21">
        <v>35.64</v>
      </c>
      <c r="E76" s="21">
        <v>40.200000000000003</v>
      </c>
      <c r="F76" s="21">
        <v>38</v>
      </c>
      <c r="G76" s="21">
        <v>38</v>
      </c>
      <c r="H76" s="21">
        <v>36</v>
      </c>
      <c r="I76" s="21">
        <v>39.299999999999997</v>
      </c>
      <c r="J76">
        <v>1</v>
      </c>
      <c r="K76">
        <f t="shared" si="10"/>
        <v>35.64</v>
      </c>
      <c r="L76">
        <f t="shared" si="11"/>
        <v>35.64</v>
      </c>
      <c r="M76">
        <f t="shared" si="12"/>
        <v>40.200000000000003</v>
      </c>
      <c r="N76">
        <f t="shared" si="13"/>
        <v>38</v>
      </c>
      <c r="O76">
        <f t="shared" si="14"/>
        <v>38</v>
      </c>
      <c r="P76">
        <f t="shared" si="15"/>
        <v>36</v>
      </c>
      <c r="Q76">
        <f t="shared" si="16"/>
        <v>39.299999999999997</v>
      </c>
    </row>
    <row r="77" spans="1:25" x14ac:dyDescent="0.45">
      <c r="A77" t="s">
        <v>128</v>
      </c>
      <c r="B77" t="s">
        <v>112</v>
      </c>
      <c r="C77" s="21">
        <v>58.94</v>
      </c>
      <c r="D77" s="21">
        <v>58.94</v>
      </c>
      <c r="E77" s="21">
        <v>58.8</v>
      </c>
      <c r="F77" s="21">
        <v>56.1</v>
      </c>
      <c r="G77" s="21">
        <v>56.1</v>
      </c>
      <c r="H77" s="21">
        <v>55.5</v>
      </c>
      <c r="I77" s="21">
        <v>47.4</v>
      </c>
      <c r="J77">
        <v>1</v>
      </c>
      <c r="K77">
        <f t="shared" si="10"/>
        <v>58.94</v>
      </c>
      <c r="L77">
        <f t="shared" si="11"/>
        <v>58.94</v>
      </c>
      <c r="M77">
        <f t="shared" si="12"/>
        <v>58.8</v>
      </c>
      <c r="N77">
        <f t="shared" si="13"/>
        <v>56.1</v>
      </c>
      <c r="O77">
        <f t="shared" si="14"/>
        <v>56.1</v>
      </c>
      <c r="P77">
        <f t="shared" si="15"/>
        <v>55.5</v>
      </c>
      <c r="Q77">
        <f t="shared" si="16"/>
        <v>47.4</v>
      </c>
    </row>
    <row r="78" spans="1:25" x14ac:dyDescent="0.45">
      <c r="A78" t="s">
        <v>129</v>
      </c>
      <c r="B78" t="s">
        <v>112</v>
      </c>
      <c r="C78" s="21">
        <v>54.61</v>
      </c>
      <c r="D78" s="21">
        <v>54.61</v>
      </c>
      <c r="E78" s="21">
        <v>52.8</v>
      </c>
      <c r="F78" s="21">
        <v>52.7</v>
      </c>
      <c r="G78" s="21">
        <v>52.7</v>
      </c>
      <c r="H78" s="21">
        <v>53.3</v>
      </c>
      <c r="I78" s="21">
        <v>53.9</v>
      </c>
      <c r="J78">
        <v>1</v>
      </c>
      <c r="K78">
        <f t="shared" si="10"/>
        <v>54.61</v>
      </c>
      <c r="L78">
        <f t="shared" si="11"/>
        <v>54.61</v>
      </c>
      <c r="M78">
        <f t="shared" si="12"/>
        <v>52.8</v>
      </c>
      <c r="N78">
        <f t="shared" si="13"/>
        <v>52.7</v>
      </c>
      <c r="O78">
        <f t="shared" si="14"/>
        <v>52.7</v>
      </c>
      <c r="P78">
        <f t="shared" si="15"/>
        <v>53.3</v>
      </c>
      <c r="Q78">
        <f t="shared" si="16"/>
        <v>53.9</v>
      </c>
    </row>
    <row r="79" spans="1:25" x14ac:dyDescent="0.45">
      <c r="A79" t="s">
        <v>130</v>
      </c>
      <c r="B79" t="s">
        <v>112</v>
      </c>
      <c r="C79" s="21">
        <v>30.49</v>
      </c>
      <c r="D79" s="21">
        <v>30.49</v>
      </c>
      <c r="E79" s="21">
        <v>31.1</v>
      </c>
      <c r="F79" s="21">
        <v>29.4</v>
      </c>
      <c r="G79" s="21">
        <v>29.4</v>
      </c>
      <c r="H79" s="21">
        <v>30.6</v>
      </c>
      <c r="I79" s="21">
        <v>35.5</v>
      </c>
      <c r="J79">
        <v>1</v>
      </c>
      <c r="K79">
        <f t="shared" si="10"/>
        <v>30.49</v>
      </c>
      <c r="L79">
        <f t="shared" si="11"/>
        <v>30.49</v>
      </c>
      <c r="M79">
        <f t="shared" si="12"/>
        <v>31.1</v>
      </c>
      <c r="N79">
        <f t="shared" si="13"/>
        <v>29.4</v>
      </c>
      <c r="O79">
        <f t="shared" si="14"/>
        <v>29.4</v>
      </c>
      <c r="P79">
        <f t="shared" si="15"/>
        <v>30.6</v>
      </c>
      <c r="Q79">
        <f t="shared" si="16"/>
        <v>35.5</v>
      </c>
    </row>
    <row r="80" spans="1:25" x14ac:dyDescent="0.45">
      <c r="A80" t="s">
        <v>131</v>
      </c>
      <c r="B80" t="s">
        <v>112</v>
      </c>
      <c r="C80" s="21">
        <v>41.73</v>
      </c>
      <c r="D80" s="21">
        <v>41.73</v>
      </c>
      <c r="E80" s="21">
        <v>45.2</v>
      </c>
      <c r="F80" s="21">
        <v>46.7</v>
      </c>
      <c r="G80" s="21">
        <v>46.7</v>
      </c>
      <c r="H80" s="21">
        <v>51</v>
      </c>
      <c r="I80" s="21">
        <v>52</v>
      </c>
      <c r="J80">
        <v>1</v>
      </c>
      <c r="K80">
        <f t="shared" si="10"/>
        <v>41.73</v>
      </c>
      <c r="L80">
        <f t="shared" si="11"/>
        <v>41.73</v>
      </c>
      <c r="M80">
        <f t="shared" si="12"/>
        <v>45.2</v>
      </c>
      <c r="N80">
        <f t="shared" si="13"/>
        <v>46.7</v>
      </c>
      <c r="O80">
        <f t="shared" si="14"/>
        <v>46.7</v>
      </c>
      <c r="P80">
        <f t="shared" si="15"/>
        <v>51</v>
      </c>
      <c r="Q80">
        <f t="shared" si="16"/>
        <v>52</v>
      </c>
    </row>
    <row r="81" spans="1:25" x14ac:dyDescent="0.45">
      <c r="A81" t="s">
        <v>132</v>
      </c>
      <c r="B81" t="s">
        <v>112</v>
      </c>
      <c r="C81" s="21">
        <v>39.97</v>
      </c>
      <c r="D81" s="21">
        <v>39.97</v>
      </c>
      <c r="E81" s="21">
        <v>44.9</v>
      </c>
      <c r="F81" s="21">
        <v>43.8</v>
      </c>
      <c r="G81" s="21">
        <v>43.8</v>
      </c>
      <c r="H81" s="21">
        <v>45.2</v>
      </c>
      <c r="I81" s="21">
        <v>48.8</v>
      </c>
      <c r="J81">
        <v>1</v>
      </c>
      <c r="K81">
        <f t="shared" si="10"/>
        <v>39.97</v>
      </c>
      <c r="L81">
        <f t="shared" si="11"/>
        <v>39.97</v>
      </c>
      <c r="M81">
        <f t="shared" si="12"/>
        <v>44.9</v>
      </c>
      <c r="N81">
        <f t="shared" si="13"/>
        <v>43.8</v>
      </c>
      <c r="O81">
        <f t="shared" si="14"/>
        <v>43.8</v>
      </c>
      <c r="P81">
        <f t="shared" si="15"/>
        <v>45.2</v>
      </c>
      <c r="Q81">
        <f t="shared" si="16"/>
        <v>48.8</v>
      </c>
    </row>
    <row r="82" spans="1:25" x14ac:dyDescent="0.45">
      <c r="A82" t="s">
        <v>133</v>
      </c>
      <c r="B82" t="s">
        <v>112</v>
      </c>
      <c r="C82" s="21">
        <v>65.7</v>
      </c>
      <c r="D82" s="21">
        <v>65.7</v>
      </c>
      <c r="E82" s="21">
        <v>60.8</v>
      </c>
      <c r="F82" s="21">
        <v>62</v>
      </c>
      <c r="G82" s="21">
        <v>62</v>
      </c>
      <c r="H82" s="21">
        <v>65.7</v>
      </c>
      <c r="I82" s="21">
        <v>62.7</v>
      </c>
      <c r="J82">
        <v>1</v>
      </c>
      <c r="K82">
        <f t="shared" si="10"/>
        <v>65.7</v>
      </c>
      <c r="L82">
        <f t="shared" si="11"/>
        <v>65.7</v>
      </c>
      <c r="M82">
        <f t="shared" si="12"/>
        <v>60.8</v>
      </c>
      <c r="N82">
        <f t="shared" si="13"/>
        <v>62</v>
      </c>
      <c r="O82">
        <f t="shared" si="14"/>
        <v>62</v>
      </c>
      <c r="P82">
        <f t="shared" si="15"/>
        <v>65.7</v>
      </c>
      <c r="Q82">
        <f t="shared" si="16"/>
        <v>62.7</v>
      </c>
    </row>
    <row r="83" spans="1:25" x14ac:dyDescent="0.45">
      <c r="A83" t="s">
        <v>134</v>
      </c>
      <c r="B83" t="s">
        <v>112</v>
      </c>
      <c r="C83" s="21">
        <v>32.25</v>
      </c>
      <c r="D83" s="21">
        <v>32.25</v>
      </c>
      <c r="E83" s="21">
        <v>35.799999999999997</v>
      </c>
      <c r="F83" s="21">
        <v>33.299999999999997</v>
      </c>
      <c r="G83" s="21">
        <v>33.299999999999997</v>
      </c>
      <c r="H83" s="21">
        <v>34</v>
      </c>
      <c r="I83" s="21">
        <v>39.200000000000003</v>
      </c>
      <c r="J83">
        <v>1</v>
      </c>
      <c r="K83">
        <f t="shared" si="10"/>
        <v>32.25</v>
      </c>
      <c r="L83">
        <f t="shared" si="11"/>
        <v>32.25</v>
      </c>
      <c r="M83">
        <f t="shared" si="12"/>
        <v>35.799999999999997</v>
      </c>
      <c r="N83">
        <f t="shared" si="13"/>
        <v>33.299999999999997</v>
      </c>
      <c r="O83">
        <f t="shared" si="14"/>
        <v>33.299999999999997</v>
      </c>
      <c r="P83">
        <f t="shared" si="15"/>
        <v>34</v>
      </c>
      <c r="Q83">
        <f t="shared" si="16"/>
        <v>39.200000000000003</v>
      </c>
    </row>
    <row r="84" spans="1:25" x14ac:dyDescent="0.45">
      <c r="A84" t="s">
        <v>135</v>
      </c>
      <c r="B84" t="s">
        <v>112</v>
      </c>
      <c r="C84" s="21">
        <v>44.31</v>
      </c>
      <c r="D84" s="21">
        <v>44.31</v>
      </c>
      <c r="E84" s="21">
        <v>45.9</v>
      </c>
      <c r="F84" s="21">
        <v>44.4</v>
      </c>
      <c r="G84" s="21">
        <v>44.4</v>
      </c>
      <c r="H84" s="21">
        <v>43.9</v>
      </c>
      <c r="I84" s="21">
        <v>47.3</v>
      </c>
      <c r="J84">
        <v>1</v>
      </c>
      <c r="K84">
        <f t="shared" si="10"/>
        <v>44.31</v>
      </c>
      <c r="L84">
        <f t="shared" si="11"/>
        <v>44.31</v>
      </c>
      <c r="M84">
        <f t="shared" si="12"/>
        <v>45.9</v>
      </c>
      <c r="N84">
        <f t="shared" si="13"/>
        <v>44.4</v>
      </c>
      <c r="O84">
        <f t="shared" si="14"/>
        <v>44.4</v>
      </c>
      <c r="P84">
        <f t="shared" si="15"/>
        <v>43.9</v>
      </c>
      <c r="Q84">
        <f t="shared" si="16"/>
        <v>47.3</v>
      </c>
    </row>
    <row r="85" spans="1:25" x14ac:dyDescent="0.45">
      <c r="A85" t="s">
        <v>327</v>
      </c>
      <c r="B85" t="s">
        <v>112</v>
      </c>
      <c r="C85" s="21">
        <v>1</v>
      </c>
      <c r="D85" s="21">
        <v>1</v>
      </c>
      <c r="E85" s="21">
        <v>3.6470588235294117</v>
      </c>
      <c r="F85" s="21">
        <v>65.058823529411768</v>
      </c>
      <c r="G85" s="21">
        <v>77.5</v>
      </c>
      <c r="H85" s="21">
        <v>95.102941176470594</v>
      </c>
      <c r="I85" s="21">
        <v>100</v>
      </c>
      <c r="J85">
        <v>1</v>
      </c>
      <c r="K85">
        <f t="shared" si="10"/>
        <v>1</v>
      </c>
      <c r="L85">
        <f t="shared" si="11"/>
        <v>1</v>
      </c>
      <c r="M85">
        <f t="shared" si="12"/>
        <v>3.6470588235294117</v>
      </c>
      <c r="N85">
        <f t="shared" si="13"/>
        <v>65.058823529411768</v>
      </c>
      <c r="O85">
        <f t="shared" si="14"/>
        <v>77.5</v>
      </c>
      <c r="P85">
        <f t="shared" si="15"/>
        <v>95.102941176470594</v>
      </c>
      <c r="Q85">
        <f t="shared" si="16"/>
        <v>100</v>
      </c>
    </row>
    <row r="86" spans="1:25" x14ac:dyDescent="0.45">
      <c r="A86" t="s">
        <v>138</v>
      </c>
      <c r="B86" t="s">
        <v>112</v>
      </c>
      <c r="C86" s="21">
        <v>1</v>
      </c>
      <c r="D86" s="21">
        <v>1</v>
      </c>
      <c r="E86" s="21">
        <v>7.7588364234176632</v>
      </c>
      <c r="F86" s="21">
        <v>30.722303406703809</v>
      </c>
      <c r="G86" s="21">
        <v>49.654580326970496</v>
      </c>
      <c r="H86" s="21">
        <v>100</v>
      </c>
      <c r="I86" s="21">
        <v>97.517992510731574</v>
      </c>
      <c r="J86">
        <v>1</v>
      </c>
      <c r="K86">
        <f t="shared" si="10"/>
        <v>1</v>
      </c>
      <c r="L86">
        <f t="shared" si="11"/>
        <v>1</v>
      </c>
      <c r="M86">
        <f t="shared" si="12"/>
        <v>7.7588364234176632</v>
      </c>
      <c r="N86">
        <f t="shared" si="13"/>
        <v>30.722303406703809</v>
      </c>
      <c r="O86">
        <f t="shared" si="14"/>
        <v>49.654580326970496</v>
      </c>
      <c r="P86">
        <f t="shared" si="15"/>
        <v>100</v>
      </c>
      <c r="Q86">
        <f t="shared" si="16"/>
        <v>97.517992510731574</v>
      </c>
    </row>
    <row r="87" spans="1:25" x14ac:dyDescent="0.45">
      <c r="A87" t="s">
        <v>139</v>
      </c>
      <c r="B87" t="s">
        <v>112</v>
      </c>
      <c r="C87" s="21">
        <v>49.688524590163922</v>
      </c>
      <c r="D87" s="21">
        <v>49.688524590163922</v>
      </c>
      <c r="E87" s="21">
        <v>49.688524590163922</v>
      </c>
      <c r="F87" s="21">
        <v>55.368852459016388</v>
      </c>
      <c r="G87" s="21">
        <v>51.311475409836056</v>
      </c>
      <c r="H87" s="21">
        <v>50.499999999999986</v>
      </c>
      <c r="I87" s="21">
        <v>50.499999999999986</v>
      </c>
      <c r="J87">
        <v>1</v>
      </c>
      <c r="K87">
        <f t="shared" si="10"/>
        <v>49.688524590163922</v>
      </c>
      <c r="L87">
        <f t="shared" si="11"/>
        <v>49.688524590163922</v>
      </c>
      <c r="M87">
        <f t="shared" si="12"/>
        <v>49.688524590163922</v>
      </c>
      <c r="N87">
        <f t="shared" si="13"/>
        <v>55.368852459016388</v>
      </c>
      <c r="O87">
        <f t="shared" si="14"/>
        <v>51.311475409836056</v>
      </c>
      <c r="P87">
        <f t="shared" si="15"/>
        <v>50.499999999999986</v>
      </c>
      <c r="Q87">
        <f t="shared" si="16"/>
        <v>50.499999999999986</v>
      </c>
    </row>
    <row r="88" spans="1:25" x14ac:dyDescent="0.45">
      <c r="A88" t="s">
        <v>141</v>
      </c>
      <c r="B88" t="s">
        <v>112</v>
      </c>
      <c r="C88" s="21">
        <v>36.100000000000009</v>
      </c>
      <c r="D88" s="21">
        <v>46.9</v>
      </c>
      <c r="E88" s="21">
        <v>30.700000000000003</v>
      </c>
      <c r="F88" s="21">
        <v>50.5</v>
      </c>
      <c r="G88" s="21">
        <v>50.5</v>
      </c>
      <c r="H88" s="21">
        <v>79.3</v>
      </c>
      <c r="I88" s="21">
        <v>61.29999999999999</v>
      </c>
      <c r="J88">
        <v>0.66</v>
      </c>
      <c r="K88">
        <f t="shared" si="10"/>
        <v>23.826000000000008</v>
      </c>
      <c r="L88">
        <f t="shared" si="11"/>
        <v>30.954000000000001</v>
      </c>
      <c r="M88">
        <f t="shared" si="12"/>
        <v>20.262000000000004</v>
      </c>
      <c r="N88">
        <f t="shared" si="13"/>
        <v>33.33</v>
      </c>
      <c r="O88">
        <f t="shared" si="14"/>
        <v>33.33</v>
      </c>
      <c r="P88">
        <f t="shared" si="15"/>
        <v>52.338000000000001</v>
      </c>
      <c r="Q88">
        <f t="shared" si="16"/>
        <v>40.457999999999998</v>
      </c>
    </row>
    <row r="89" spans="1:25" x14ac:dyDescent="0.45">
      <c r="A89" t="s">
        <v>143</v>
      </c>
      <c r="B89" t="s">
        <v>112</v>
      </c>
      <c r="C89" s="21">
        <v>86.859536082474207</v>
      </c>
      <c r="D89" s="21">
        <v>97.349984310926303</v>
      </c>
      <c r="E89" s="21">
        <v>100</v>
      </c>
      <c r="F89" s="21">
        <v>100</v>
      </c>
      <c r="G89" s="21">
        <v>100</v>
      </c>
      <c r="H89" s="21">
        <v>100</v>
      </c>
      <c r="I89" s="21">
        <v>100</v>
      </c>
      <c r="J89">
        <v>0.66</v>
      </c>
      <c r="K89">
        <f t="shared" si="10"/>
        <v>57.327293814432977</v>
      </c>
      <c r="L89">
        <f t="shared" si="11"/>
        <v>64.250989645211362</v>
      </c>
      <c r="M89">
        <f t="shared" si="12"/>
        <v>66</v>
      </c>
      <c r="N89">
        <f t="shared" si="13"/>
        <v>66</v>
      </c>
      <c r="O89">
        <f t="shared" si="14"/>
        <v>66</v>
      </c>
      <c r="P89">
        <f t="shared" si="15"/>
        <v>66</v>
      </c>
      <c r="Q89">
        <f t="shared" si="16"/>
        <v>66</v>
      </c>
    </row>
    <row r="90" spans="1:25" x14ac:dyDescent="0.45">
      <c r="A90" t="s">
        <v>347</v>
      </c>
      <c r="B90" t="s">
        <v>112</v>
      </c>
      <c r="C90" s="21">
        <v>36.936201425413138</v>
      </c>
      <c r="D90" s="21">
        <v>33.84207664034669</v>
      </c>
      <c r="E90" s="21">
        <v>38.991583202852347</v>
      </c>
      <c r="F90" s="21">
        <v>26.546577107502678</v>
      </c>
      <c r="G90" s="21">
        <v>13.021858444336251</v>
      </c>
      <c r="H90" s="21">
        <v>14.132155859307254</v>
      </c>
      <c r="I90" s="21">
        <v>20.630585210167716</v>
      </c>
      <c r="J90">
        <v>1</v>
      </c>
      <c r="K90">
        <f t="shared" si="10"/>
        <v>36.936201425413138</v>
      </c>
      <c r="L90">
        <f t="shared" si="11"/>
        <v>33.84207664034669</v>
      </c>
      <c r="M90">
        <f t="shared" si="12"/>
        <v>38.991583202852347</v>
      </c>
      <c r="N90">
        <f t="shared" si="13"/>
        <v>26.546577107502678</v>
      </c>
      <c r="O90">
        <f t="shared" si="14"/>
        <v>13.021858444336251</v>
      </c>
      <c r="P90">
        <f t="shared" si="15"/>
        <v>14.132155859307254</v>
      </c>
      <c r="Q90">
        <f t="shared" si="16"/>
        <v>20.630585210167716</v>
      </c>
    </row>
    <row r="91" spans="1:25" x14ac:dyDescent="0.45">
      <c r="A91" t="s">
        <v>346</v>
      </c>
      <c r="B91" t="s">
        <v>112</v>
      </c>
      <c r="C91" s="21">
        <v>52.909188402089768</v>
      </c>
      <c r="D91" s="21">
        <v>74.74528546187733</v>
      </c>
      <c r="E91" s="21">
        <v>68.63013721008727</v>
      </c>
      <c r="F91" s="21">
        <v>74.658433889698458</v>
      </c>
      <c r="G91" s="21">
        <v>69.251090893395386</v>
      </c>
      <c r="H91" s="21">
        <v>88.812697721721008</v>
      </c>
      <c r="I91" s="21">
        <v>81.987838249944105</v>
      </c>
      <c r="J91">
        <v>1</v>
      </c>
      <c r="K91">
        <f t="shared" si="10"/>
        <v>52.909188402089768</v>
      </c>
      <c r="L91">
        <f t="shared" si="11"/>
        <v>74.74528546187733</v>
      </c>
      <c r="M91">
        <f t="shared" si="12"/>
        <v>68.63013721008727</v>
      </c>
      <c r="N91">
        <f t="shared" si="13"/>
        <v>74.658433889698458</v>
      </c>
      <c r="O91">
        <f t="shared" si="14"/>
        <v>69.251090893395386</v>
      </c>
      <c r="P91">
        <f t="shared" si="15"/>
        <v>88.812697721721008</v>
      </c>
      <c r="Q91">
        <f t="shared" si="16"/>
        <v>81.987838249944105</v>
      </c>
    </row>
    <row r="92" spans="1:25" x14ac:dyDescent="0.45">
      <c r="A92" t="s">
        <v>172</v>
      </c>
      <c r="B92" t="s">
        <v>112</v>
      </c>
      <c r="C92" s="21">
        <v>48.083115165758578</v>
      </c>
      <c r="D92" s="21">
        <v>46.455712258902572</v>
      </c>
      <c r="E92" s="21">
        <v>50.316152033240712</v>
      </c>
      <c r="F92" s="21">
        <v>50.499999999999986</v>
      </c>
      <c r="G92" s="21">
        <v>53.668746780822374</v>
      </c>
      <c r="H92" s="21">
        <v>55.476823962772073</v>
      </c>
      <c r="I92" s="21">
        <v>58.306785062836134</v>
      </c>
      <c r="J92">
        <v>1</v>
      </c>
      <c r="K92">
        <f t="shared" si="10"/>
        <v>48.083115165758578</v>
      </c>
      <c r="L92">
        <f t="shared" si="11"/>
        <v>46.455712258902572</v>
      </c>
      <c r="M92">
        <f t="shared" si="12"/>
        <v>50.316152033240712</v>
      </c>
      <c r="N92">
        <f t="shared" si="13"/>
        <v>50.499999999999986</v>
      </c>
      <c r="O92">
        <f t="shared" si="14"/>
        <v>53.668746780822374</v>
      </c>
      <c r="P92">
        <f t="shared" si="15"/>
        <v>55.476823962772073</v>
      </c>
      <c r="Q92">
        <f t="shared" si="16"/>
        <v>58.306785062836134</v>
      </c>
      <c r="R92" cm="1">
        <f t="array" ref="R92:R93">(SUM(J68:J92)+J158:J159)</f>
        <v>23.62</v>
      </c>
      <c r="S92" cm="1">
        <f t="array" ref="S92:S93">(SUM(K68:K92)+K158:K159)/$R92</f>
        <v>40.389960664915264</v>
      </c>
      <c r="T92" cm="1">
        <f t="array" ref="T92:T93">(SUM(L68:L92)+L158:L159)/$R92</f>
        <v>45.191308488139065</v>
      </c>
      <c r="U92" cm="1">
        <f t="array" ref="U92:U93">(SUM(M68:M92)+M158:M159)/$R92</f>
        <v>46.237987046601425</v>
      </c>
      <c r="V92" cm="1">
        <f t="array" ref="V92:V93">(SUM(N68:N92)+N158:N159)/$R92</f>
        <v>51.464535617120738</v>
      </c>
      <c r="W92" cm="1">
        <f t="array" ref="W92:W93">(SUM(O68:O92)+O158:O159)/$R92</f>
        <v>53.578836287469976</v>
      </c>
      <c r="X92" cm="1">
        <f t="array" ref="X92:X93">(SUM(P68:P92)+P158:P159)/$R92</f>
        <v>58.493489892898829</v>
      </c>
      <c r="Y92" cm="1">
        <f t="array" ref="Y92:Y93">(SUM(Q68:Q92)+Q158:Q159)/$R92</f>
        <v>59.543862484267294</v>
      </c>
    </row>
    <row r="93" spans="1:25" x14ac:dyDescent="0.45">
      <c r="A93" t="s">
        <v>289</v>
      </c>
      <c r="B93" t="s">
        <v>152</v>
      </c>
      <c r="C93" s="21">
        <v>38.030350220358756</v>
      </c>
      <c r="D93" s="21">
        <v>34.881387168934246</v>
      </c>
      <c r="E93" s="21">
        <v>48.56174109737703</v>
      </c>
      <c r="F93" s="21">
        <v>50.5</v>
      </c>
      <c r="G93" s="21">
        <v>51.783056777540693</v>
      </c>
      <c r="H93" s="21">
        <v>59.663362553438134</v>
      </c>
      <c r="I93" s="21">
        <v>56.461369566365299</v>
      </c>
      <c r="J93">
        <v>0.66</v>
      </c>
      <c r="K93">
        <f t="shared" si="10"/>
        <v>25.10003114543678</v>
      </c>
      <c r="L93">
        <f t="shared" si="11"/>
        <v>23.021715531496604</v>
      </c>
      <c r="M93">
        <f t="shared" si="12"/>
        <v>32.05074912426884</v>
      </c>
      <c r="N93">
        <f t="shared" si="13"/>
        <v>33.33</v>
      </c>
      <c r="O93">
        <f t="shared" si="14"/>
        <v>34.176817473176861</v>
      </c>
      <c r="P93">
        <f t="shared" si="15"/>
        <v>39.377819285269169</v>
      </c>
      <c r="Q93">
        <f t="shared" si="16"/>
        <v>37.2645039138011</v>
      </c>
      <c r="R93">
        <v>23.62</v>
      </c>
      <c r="S93">
        <v>40.433813792056782</v>
      </c>
      <c r="T93">
        <v>45.191308488139065</v>
      </c>
      <c r="U93">
        <v>46.141432873980918</v>
      </c>
      <c r="V93">
        <v>51.502572214847241</v>
      </c>
      <c r="W93">
        <v>54.648331388757484</v>
      </c>
      <c r="X93">
        <v>58.758779597842256</v>
      </c>
      <c r="Y93">
        <v>59.822386138458619</v>
      </c>
    </row>
    <row r="94" spans="1:25" x14ac:dyDescent="0.45">
      <c r="A94" t="s">
        <v>290</v>
      </c>
      <c r="B94" t="s">
        <v>152</v>
      </c>
      <c r="C94" s="21">
        <v>35.479887725516136</v>
      </c>
      <c r="D94" s="21">
        <v>36.977139672647581</v>
      </c>
      <c r="E94" s="21">
        <v>44.817416312910389</v>
      </c>
      <c r="F94" s="21">
        <v>50.499999999999986</v>
      </c>
      <c r="G94" s="21">
        <v>56.056855190509289</v>
      </c>
      <c r="H94" s="21">
        <v>50.755928443482802</v>
      </c>
      <c r="I94" s="21">
        <v>56.583967931709047</v>
      </c>
      <c r="J94">
        <v>1</v>
      </c>
      <c r="K94">
        <f t="shared" si="10"/>
        <v>35.479887725516136</v>
      </c>
      <c r="L94">
        <f t="shared" si="11"/>
        <v>36.977139672647581</v>
      </c>
      <c r="M94">
        <f t="shared" si="12"/>
        <v>44.817416312910389</v>
      </c>
      <c r="N94">
        <f t="shared" si="13"/>
        <v>50.499999999999986</v>
      </c>
      <c r="O94">
        <f t="shared" si="14"/>
        <v>56.056855190509289</v>
      </c>
      <c r="P94">
        <f t="shared" si="15"/>
        <v>50.755928443482802</v>
      </c>
      <c r="Q94">
        <f t="shared" si="16"/>
        <v>56.583967931709047</v>
      </c>
    </row>
    <row r="95" spans="1:25" x14ac:dyDescent="0.45">
      <c r="A95" t="s">
        <v>151</v>
      </c>
      <c r="B95" t="s">
        <v>152</v>
      </c>
      <c r="C95" s="21">
        <v>50.5</v>
      </c>
      <c r="D95" s="21">
        <v>50.5</v>
      </c>
      <c r="E95" s="21">
        <v>50.5</v>
      </c>
      <c r="F95" s="21">
        <v>50.5</v>
      </c>
      <c r="G95" s="21">
        <v>50.5</v>
      </c>
      <c r="H95" s="21">
        <v>50.5</v>
      </c>
      <c r="I95" s="21">
        <v>50.5</v>
      </c>
      <c r="J95">
        <v>0.66</v>
      </c>
      <c r="K95">
        <f t="shared" si="10"/>
        <v>33.33</v>
      </c>
      <c r="L95">
        <f t="shared" si="11"/>
        <v>33.33</v>
      </c>
      <c r="M95">
        <f t="shared" si="12"/>
        <v>33.33</v>
      </c>
      <c r="N95">
        <f t="shared" si="13"/>
        <v>33.33</v>
      </c>
      <c r="O95">
        <f t="shared" si="14"/>
        <v>33.33</v>
      </c>
      <c r="P95">
        <f t="shared" si="15"/>
        <v>33.33</v>
      </c>
      <c r="Q95">
        <f t="shared" si="16"/>
        <v>33.33</v>
      </c>
    </row>
    <row r="96" spans="1:25" x14ac:dyDescent="0.45">
      <c r="A96" t="s">
        <v>153</v>
      </c>
      <c r="B96" t="s">
        <v>152</v>
      </c>
      <c r="C96" s="21">
        <v>60.632896686138821</v>
      </c>
      <c r="D96" s="21">
        <v>58.824227384408282</v>
      </c>
      <c r="E96" s="21">
        <v>100</v>
      </c>
      <c r="F96" s="21">
        <v>43.22917341769849</v>
      </c>
      <c r="G96" s="21">
        <v>41.064212670808125</v>
      </c>
      <c r="H96" s="21">
        <v>50.499999999999986</v>
      </c>
      <c r="I96" s="21">
        <v>47.98174913985396</v>
      </c>
      <c r="J96">
        <v>0.66</v>
      </c>
      <c r="K96">
        <f t="shared" si="10"/>
        <v>40.017711812851623</v>
      </c>
      <c r="L96">
        <f t="shared" si="11"/>
        <v>38.823990073709467</v>
      </c>
      <c r="M96">
        <f t="shared" si="12"/>
        <v>66</v>
      </c>
      <c r="N96">
        <f t="shared" si="13"/>
        <v>28.531254455681005</v>
      </c>
      <c r="O96">
        <f t="shared" si="14"/>
        <v>27.102380362733363</v>
      </c>
      <c r="P96">
        <f t="shared" si="15"/>
        <v>33.329999999999991</v>
      </c>
      <c r="Q96">
        <f t="shared" si="16"/>
        <v>31.667954432303617</v>
      </c>
    </row>
    <row r="97" spans="1:25" x14ac:dyDescent="0.45">
      <c r="A97" t="s">
        <v>154</v>
      </c>
      <c r="B97" t="s">
        <v>152</v>
      </c>
      <c r="C97" s="21">
        <v>50.504351552713125</v>
      </c>
      <c r="D97" s="21">
        <v>50.410793169380881</v>
      </c>
      <c r="E97" s="21">
        <v>50.391211182171823</v>
      </c>
      <c r="F97" s="21">
        <v>50.469539131008098</v>
      </c>
      <c r="G97" s="21">
        <v>50.5</v>
      </c>
      <c r="H97" s="21">
        <v>50.589206830619091</v>
      </c>
      <c r="I97" s="21">
        <v>50.641425463176638</v>
      </c>
      <c r="J97">
        <v>0.66</v>
      </c>
      <c r="K97">
        <f t="shared" si="10"/>
        <v>33.332872024790667</v>
      </c>
      <c r="L97">
        <f t="shared" si="11"/>
        <v>33.271123491791386</v>
      </c>
      <c r="M97">
        <f t="shared" si="12"/>
        <v>33.258199380233407</v>
      </c>
      <c r="N97">
        <f t="shared" si="13"/>
        <v>33.309895826465343</v>
      </c>
      <c r="O97">
        <f t="shared" si="14"/>
        <v>33.33</v>
      </c>
      <c r="P97">
        <f t="shared" si="15"/>
        <v>33.388876508208604</v>
      </c>
      <c r="Q97">
        <f t="shared" si="16"/>
        <v>33.423340805696583</v>
      </c>
    </row>
    <row r="98" spans="1:25" x14ac:dyDescent="0.45">
      <c r="A98" t="s">
        <v>155</v>
      </c>
      <c r="B98" t="s">
        <v>152</v>
      </c>
      <c r="C98" s="21">
        <v>53.513508645533143</v>
      </c>
      <c r="D98" s="21">
        <v>53.192543227665702</v>
      </c>
      <c r="E98" s="21">
        <v>52.390129682997113</v>
      </c>
      <c r="F98" s="21">
        <v>50.482168587896254</v>
      </c>
      <c r="G98" s="21">
        <v>50.482168587896254</v>
      </c>
      <c r="H98" s="21">
        <v>50.482168587896254</v>
      </c>
      <c r="I98" s="21">
        <v>50.5</v>
      </c>
      <c r="J98">
        <v>0.66</v>
      </c>
      <c r="K98">
        <f t="shared" si="10"/>
        <v>35.318915706051875</v>
      </c>
      <c r="L98">
        <f t="shared" si="11"/>
        <v>35.107078530259365</v>
      </c>
      <c r="M98">
        <f t="shared" si="12"/>
        <v>34.577485590778096</v>
      </c>
      <c r="N98">
        <f t="shared" si="13"/>
        <v>33.31823126801153</v>
      </c>
      <c r="O98">
        <f t="shared" si="14"/>
        <v>33.31823126801153</v>
      </c>
      <c r="P98">
        <f t="shared" si="15"/>
        <v>33.31823126801153</v>
      </c>
      <c r="Q98">
        <f t="shared" si="16"/>
        <v>33.33</v>
      </c>
    </row>
    <row r="99" spans="1:25" x14ac:dyDescent="0.45">
      <c r="A99" t="s">
        <v>292</v>
      </c>
      <c r="B99" t="s">
        <v>152</v>
      </c>
      <c r="C99" s="21">
        <v>100</v>
      </c>
      <c r="D99" s="21">
        <v>100</v>
      </c>
      <c r="E99" s="21">
        <v>100</v>
      </c>
      <c r="F99" s="21">
        <v>100</v>
      </c>
      <c r="G99" s="21">
        <v>100</v>
      </c>
      <c r="H99" s="21">
        <v>100</v>
      </c>
      <c r="I99" s="21">
        <v>100</v>
      </c>
      <c r="J99">
        <v>0.66</v>
      </c>
      <c r="K99">
        <f t="shared" si="10"/>
        <v>66</v>
      </c>
      <c r="L99">
        <f t="shared" si="11"/>
        <v>66</v>
      </c>
      <c r="M99">
        <f t="shared" si="12"/>
        <v>66</v>
      </c>
      <c r="N99">
        <f t="shared" si="13"/>
        <v>66</v>
      </c>
      <c r="O99">
        <f t="shared" si="14"/>
        <v>66</v>
      </c>
      <c r="P99">
        <f t="shared" si="15"/>
        <v>66</v>
      </c>
      <c r="Q99">
        <f t="shared" si="16"/>
        <v>66</v>
      </c>
    </row>
    <row r="100" spans="1:25" x14ac:dyDescent="0.45">
      <c r="A100" t="s">
        <v>293</v>
      </c>
      <c r="B100" t="s">
        <v>152</v>
      </c>
      <c r="C100" s="21">
        <v>42.085000000000001</v>
      </c>
      <c r="D100" s="21">
        <v>50.004999999999988</v>
      </c>
      <c r="E100" s="21">
        <v>70.3</v>
      </c>
      <c r="F100" s="21">
        <v>66.835000000000008</v>
      </c>
      <c r="G100" s="21">
        <v>73.765000000000001</v>
      </c>
      <c r="H100" s="21">
        <v>83.664999999999992</v>
      </c>
      <c r="I100" s="21">
        <v>89.951499999999996</v>
      </c>
      <c r="J100">
        <v>1</v>
      </c>
      <c r="K100">
        <f t="shared" si="10"/>
        <v>42.085000000000001</v>
      </c>
      <c r="L100">
        <f t="shared" si="11"/>
        <v>50.004999999999988</v>
      </c>
      <c r="M100">
        <f t="shared" si="12"/>
        <v>70.3</v>
      </c>
      <c r="N100">
        <f t="shared" si="13"/>
        <v>66.835000000000008</v>
      </c>
      <c r="O100">
        <f t="shared" si="14"/>
        <v>73.765000000000001</v>
      </c>
      <c r="P100">
        <f t="shared" si="15"/>
        <v>83.664999999999992</v>
      </c>
      <c r="Q100">
        <f t="shared" si="16"/>
        <v>89.951499999999996</v>
      </c>
    </row>
    <row r="101" spans="1:25" x14ac:dyDescent="0.45">
      <c r="A101" t="s">
        <v>295</v>
      </c>
      <c r="B101" t="s">
        <v>152</v>
      </c>
      <c r="C101" s="21">
        <v>43.570000000000007</v>
      </c>
      <c r="D101" s="21">
        <v>53.425999944999994</v>
      </c>
      <c r="E101" s="21">
        <v>56.187000054999999</v>
      </c>
      <c r="F101" s="21">
        <v>55.147500055000002</v>
      </c>
      <c r="G101" s="21">
        <v>64.404000054999997</v>
      </c>
      <c r="H101" s="21">
        <v>66.410714214999999</v>
      </c>
      <c r="I101" s="21">
        <v>65.515000000000015</v>
      </c>
      <c r="J101">
        <v>1</v>
      </c>
      <c r="K101">
        <f t="shared" si="10"/>
        <v>43.570000000000007</v>
      </c>
      <c r="L101">
        <f t="shared" si="11"/>
        <v>53.425999944999994</v>
      </c>
      <c r="M101">
        <f t="shared" si="12"/>
        <v>56.187000054999999</v>
      </c>
      <c r="N101">
        <f t="shared" si="13"/>
        <v>55.147500055000002</v>
      </c>
      <c r="O101">
        <f t="shared" si="14"/>
        <v>64.404000054999997</v>
      </c>
      <c r="P101">
        <f t="shared" si="15"/>
        <v>66.410714214999999</v>
      </c>
      <c r="Q101">
        <f t="shared" si="16"/>
        <v>65.515000000000015</v>
      </c>
    </row>
    <row r="102" spans="1:25" x14ac:dyDescent="0.45">
      <c r="A102" t="s">
        <v>163</v>
      </c>
      <c r="B102" t="s">
        <v>152</v>
      </c>
      <c r="C102" s="21">
        <v>52.3</v>
      </c>
      <c r="D102" s="21">
        <v>52.3</v>
      </c>
      <c r="E102" s="21">
        <v>54.9</v>
      </c>
      <c r="F102" s="21">
        <v>55.8</v>
      </c>
      <c r="G102" s="21">
        <v>55.8</v>
      </c>
      <c r="H102" s="21">
        <v>54.9</v>
      </c>
      <c r="I102" s="21">
        <v>57.6</v>
      </c>
      <c r="J102">
        <v>0.66</v>
      </c>
      <c r="K102">
        <f t="shared" si="10"/>
        <v>34.518000000000001</v>
      </c>
      <c r="L102">
        <f t="shared" si="11"/>
        <v>34.518000000000001</v>
      </c>
      <c r="M102">
        <f t="shared" si="12"/>
        <v>36.234000000000002</v>
      </c>
      <c r="N102">
        <f t="shared" si="13"/>
        <v>36.828000000000003</v>
      </c>
      <c r="O102">
        <f t="shared" si="14"/>
        <v>36.828000000000003</v>
      </c>
      <c r="P102">
        <f t="shared" si="15"/>
        <v>36.234000000000002</v>
      </c>
      <c r="Q102">
        <f t="shared" si="16"/>
        <v>38.016000000000005</v>
      </c>
    </row>
    <row r="103" spans="1:25" x14ac:dyDescent="0.45">
      <c r="A103" t="s">
        <v>164</v>
      </c>
      <c r="B103" t="s">
        <v>152</v>
      </c>
      <c r="C103" s="21">
        <v>54.74</v>
      </c>
      <c r="D103" s="21">
        <v>54.74</v>
      </c>
      <c r="E103" s="21">
        <v>50.3</v>
      </c>
      <c r="F103" s="21">
        <v>46.5</v>
      </c>
      <c r="G103" s="21">
        <v>46.5</v>
      </c>
      <c r="H103" s="21">
        <v>43.3</v>
      </c>
      <c r="I103" s="21">
        <v>47.4</v>
      </c>
      <c r="J103">
        <v>1</v>
      </c>
      <c r="K103">
        <f t="shared" si="10"/>
        <v>54.74</v>
      </c>
      <c r="L103">
        <f t="shared" si="11"/>
        <v>54.74</v>
      </c>
      <c r="M103">
        <f t="shared" si="12"/>
        <v>50.3</v>
      </c>
      <c r="N103">
        <f t="shared" si="13"/>
        <v>46.5</v>
      </c>
      <c r="O103">
        <f t="shared" si="14"/>
        <v>46.5</v>
      </c>
      <c r="P103">
        <f t="shared" si="15"/>
        <v>43.3</v>
      </c>
      <c r="Q103">
        <f t="shared" si="16"/>
        <v>47.4</v>
      </c>
    </row>
    <row r="104" spans="1:25" x14ac:dyDescent="0.45">
      <c r="A104" t="s">
        <v>165</v>
      </c>
      <c r="B104" t="s">
        <v>152</v>
      </c>
      <c r="C104" s="21">
        <v>53.498810932734429</v>
      </c>
      <c r="D104" s="21">
        <v>53.203186649971578</v>
      </c>
      <c r="E104" s="21">
        <v>52.095529363380336</v>
      </c>
      <c r="F104" s="21">
        <v>50.5</v>
      </c>
      <c r="G104" s="21">
        <v>49.169573892868073</v>
      </c>
      <c r="H104" s="21">
        <v>43.177849069270415</v>
      </c>
      <c r="I104" s="21">
        <v>43.689449366861858</v>
      </c>
      <c r="J104">
        <v>1</v>
      </c>
      <c r="K104">
        <f t="shared" si="10"/>
        <v>53.498810932734429</v>
      </c>
      <c r="L104">
        <f t="shared" si="11"/>
        <v>53.203186649971578</v>
      </c>
      <c r="M104">
        <f t="shared" si="12"/>
        <v>52.095529363380336</v>
      </c>
      <c r="N104">
        <f t="shared" si="13"/>
        <v>50.5</v>
      </c>
      <c r="O104">
        <f t="shared" si="14"/>
        <v>49.169573892868073</v>
      </c>
      <c r="P104">
        <f t="shared" si="15"/>
        <v>43.177849069270415</v>
      </c>
      <c r="Q104">
        <f t="shared" si="16"/>
        <v>43.689449366861858</v>
      </c>
    </row>
    <row r="105" spans="1:25" x14ac:dyDescent="0.45">
      <c r="A105" t="s">
        <v>166</v>
      </c>
      <c r="B105" t="s">
        <v>152</v>
      </c>
      <c r="C105" s="21">
        <v>66.131578947368425</v>
      </c>
      <c r="D105" s="21">
        <v>55.71052631578948</v>
      </c>
      <c r="E105" s="21">
        <v>50.5</v>
      </c>
      <c r="F105" s="21">
        <v>50.5</v>
      </c>
      <c r="G105" s="21">
        <v>55.71052631578948</v>
      </c>
      <c r="H105" s="21">
        <v>45.289473684210527</v>
      </c>
      <c r="I105" s="21">
        <v>45.289473684210527</v>
      </c>
      <c r="J105">
        <v>1</v>
      </c>
      <c r="K105">
        <f t="shared" si="10"/>
        <v>66.131578947368425</v>
      </c>
      <c r="L105">
        <f t="shared" si="11"/>
        <v>55.71052631578948</v>
      </c>
      <c r="M105">
        <f t="shared" si="12"/>
        <v>50.5</v>
      </c>
      <c r="N105">
        <f t="shared" si="13"/>
        <v>50.5</v>
      </c>
      <c r="O105">
        <f t="shared" si="14"/>
        <v>55.71052631578948</v>
      </c>
      <c r="P105">
        <f t="shared" si="15"/>
        <v>45.289473684210527</v>
      </c>
      <c r="Q105">
        <f t="shared" si="16"/>
        <v>45.289473684210527</v>
      </c>
    </row>
    <row r="106" spans="1:25" x14ac:dyDescent="0.45">
      <c r="A106" t="s">
        <v>298</v>
      </c>
      <c r="B106" t="s">
        <v>152</v>
      </c>
      <c r="C106" s="21">
        <v>100</v>
      </c>
      <c r="D106" s="21">
        <v>100</v>
      </c>
      <c r="E106" s="21">
        <v>100</v>
      </c>
      <c r="F106" s="21">
        <v>100</v>
      </c>
      <c r="G106" s="21">
        <v>100</v>
      </c>
      <c r="H106" s="21">
        <v>100</v>
      </c>
      <c r="I106" s="21">
        <v>94.653999999999996</v>
      </c>
      <c r="J106">
        <v>1</v>
      </c>
      <c r="K106">
        <f t="shared" si="10"/>
        <v>100</v>
      </c>
      <c r="L106">
        <f t="shared" si="11"/>
        <v>100</v>
      </c>
      <c r="M106">
        <f t="shared" si="12"/>
        <v>100</v>
      </c>
      <c r="N106">
        <f t="shared" si="13"/>
        <v>100</v>
      </c>
      <c r="O106">
        <f t="shared" si="14"/>
        <v>100</v>
      </c>
      <c r="P106">
        <f t="shared" si="15"/>
        <v>100</v>
      </c>
      <c r="Q106">
        <f t="shared" si="16"/>
        <v>94.653999999999996</v>
      </c>
    </row>
    <row r="107" spans="1:25" x14ac:dyDescent="0.45">
      <c r="A107" t="s">
        <v>299</v>
      </c>
      <c r="B107" t="s">
        <v>152</v>
      </c>
      <c r="C107" s="21">
        <v>47.612500000000011</v>
      </c>
      <c r="D107" s="21">
        <v>73.1875</v>
      </c>
      <c r="E107" s="21">
        <v>87.212500000000006</v>
      </c>
      <c r="F107" s="21">
        <v>86.5</v>
      </c>
      <c r="G107" s="21">
        <v>94.600000000000009</v>
      </c>
      <c r="H107" s="21">
        <v>100</v>
      </c>
      <c r="I107" s="21">
        <v>97.75</v>
      </c>
      <c r="J107">
        <v>1</v>
      </c>
      <c r="K107">
        <f t="shared" si="10"/>
        <v>47.612500000000011</v>
      </c>
      <c r="L107">
        <f t="shared" si="11"/>
        <v>73.1875</v>
      </c>
      <c r="M107">
        <f t="shared" si="12"/>
        <v>87.212500000000006</v>
      </c>
      <c r="N107">
        <f t="shared" si="13"/>
        <v>86.5</v>
      </c>
      <c r="O107">
        <f t="shared" si="14"/>
        <v>94.600000000000009</v>
      </c>
      <c r="P107">
        <f t="shared" si="15"/>
        <v>100</v>
      </c>
      <c r="Q107">
        <f t="shared" si="16"/>
        <v>97.75</v>
      </c>
    </row>
    <row r="108" spans="1:25" x14ac:dyDescent="0.45">
      <c r="A108" t="s">
        <v>174</v>
      </c>
      <c r="B108" t="s">
        <v>152</v>
      </c>
      <c r="C108" s="21">
        <v>49.297780595310002</v>
      </c>
      <c r="D108" s="21">
        <v>50.568385294874005</v>
      </c>
      <c r="E108" s="21">
        <v>50.499999999999986</v>
      </c>
      <c r="F108" s="21">
        <v>52.206671969474954</v>
      </c>
      <c r="G108" s="21">
        <v>50.125509099499411</v>
      </c>
      <c r="H108" s="21">
        <v>50.095905075744426</v>
      </c>
      <c r="I108" s="21">
        <v>52.500047844886865</v>
      </c>
      <c r="J108">
        <v>0.66</v>
      </c>
      <c r="K108">
        <f t="shared" si="10"/>
        <v>32.536535192904601</v>
      </c>
      <c r="L108">
        <f t="shared" si="11"/>
        <v>33.375134294616842</v>
      </c>
      <c r="M108">
        <f t="shared" si="12"/>
        <v>33.329999999999991</v>
      </c>
      <c r="N108">
        <f t="shared" si="13"/>
        <v>34.456403499853472</v>
      </c>
      <c r="O108">
        <f t="shared" si="14"/>
        <v>33.082836005669613</v>
      </c>
      <c r="P108">
        <f t="shared" si="15"/>
        <v>33.063297349991323</v>
      </c>
      <c r="Q108">
        <f t="shared" si="16"/>
        <v>34.650031577625334</v>
      </c>
    </row>
    <row r="109" spans="1:25" x14ac:dyDescent="0.45">
      <c r="A109" t="s">
        <v>176</v>
      </c>
      <c r="B109" t="s">
        <v>152</v>
      </c>
      <c r="C109" s="21">
        <v>12.219999999999999</v>
      </c>
      <c r="D109" s="21">
        <v>12.219999999999999</v>
      </c>
      <c r="E109" s="21">
        <v>12.219999999999999</v>
      </c>
      <c r="F109" s="21">
        <v>12.219999999999999</v>
      </c>
      <c r="G109" s="21">
        <v>12.219999999999999</v>
      </c>
      <c r="H109" s="21">
        <v>12.219999999999999</v>
      </c>
      <c r="I109" s="21">
        <v>12.219999999999999</v>
      </c>
      <c r="J109">
        <v>0.66</v>
      </c>
      <c r="K109">
        <f t="shared" si="10"/>
        <v>8.065199999999999</v>
      </c>
      <c r="L109">
        <f t="shared" si="11"/>
        <v>8.065199999999999</v>
      </c>
      <c r="M109">
        <f t="shared" si="12"/>
        <v>8.065199999999999</v>
      </c>
      <c r="N109">
        <f t="shared" si="13"/>
        <v>8.065199999999999</v>
      </c>
      <c r="O109">
        <f t="shared" si="14"/>
        <v>8.065199999999999</v>
      </c>
      <c r="P109">
        <f t="shared" si="15"/>
        <v>8.065199999999999</v>
      </c>
      <c r="Q109">
        <f t="shared" si="16"/>
        <v>8.065199999999999</v>
      </c>
    </row>
    <row r="110" spans="1:25" x14ac:dyDescent="0.45">
      <c r="A110" t="s">
        <v>177</v>
      </c>
      <c r="B110" t="s">
        <v>152</v>
      </c>
      <c r="C110" s="21">
        <v>77.725000000000009</v>
      </c>
      <c r="D110" s="21">
        <v>77.725000000000009</v>
      </c>
      <c r="E110" s="21">
        <v>77.725000000000009</v>
      </c>
      <c r="F110" s="21">
        <v>77.725000000000009</v>
      </c>
      <c r="G110" s="21">
        <v>77.725000000000009</v>
      </c>
      <c r="H110" s="21">
        <v>77.725000000000009</v>
      </c>
      <c r="I110" s="21">
        <v>77.725000000000009</v>
      </c>
      <c r="J110">
        <v>0.66</v>
      </c>
      <c r="K110">
        <f t="shared" si="10"/>
        <v>51.298500000000011</v>
      </c>
      <c r="L110">
        <f t="shared" si="11"/>
        <v>51.298500000000011</v>
      </c>
      <c r="M110">
        <f t="shared" si="12"/>
        <v>51.298500000000011</v>
      </c>
      <c r="N110">
        <f t="shared" si="13"/>
        <v>51.298500000000011</v>
      </c>
      <c r="O110">
        <f t="shared" si="14"/>
        <v>51.298500000000011</v>
      </c>
      <c r="P110">
        <f t="shared" si="15"/>
        <v>51.298500000000011</v>
      </c>
      <c r="Q110">
        <f t="shared" si="16"/>
        <v>51.298500000000011</v>
      </c>
      <c r="R110">
        <f>SUM(J93:J110)</f>
        <v>14.600000000000001</v>
      </c>
      <c r="S110">
        <f>SUM(K93:K110)/$R110</f>
        <v>54.975037225181815</v>
      </c>
      <c r="T110">
        <f t="shared" ref="T110:Y110" si="18">SUM(L93:L110)/$R110</f>
        <v>57.127403733238509</v>
      </c>
      <c r="U110">
        <f t="shared" si="18"/>
        <v>62.024423275792536</v>
      </c>
      <c r="V110">
        <f t="shared" si="18"/>
        <v>59.243149664726793</v>
      </c>
      <c r="W110">
        <f t="shared" si="18"/>
        <v>61.420405518065621</v>
      </c>
      <c r="X110">
        <f t="shared" si="18"/>
        <v>61.644170535852346</v>
      </c>
      <c r="Y110">
        <f t="shared" si="18"/>
        <v>62.183487788507392</v>
      </c>
    </row>
    <row r="111" spans="1:25" x14ac:dyDescent="0.45">
      <c r="A111" t="s">
        <v>178</v>
      </c>
      <c r="B111" t="s">
        <v>179</v>
      </c>
      <c r="C111" s="21">
        <v>42.109434665251619</v>
      </c>
      <c r="D111" s="21">
        <v>44.572384892561494</v>
      </c>
      <c r="E111" s="21">
        <v>46.41163796906558</v>
      </c>
      <c r="F111" s="21">
        <v>50.500000000000014</v>
      </c>
      <c r="G111" s="21">
        <v>50.828693458830159</v>
      </c>
      <c r="H111" s="21">
        <v>51.854221376270658</v>
      </c>
      <c r="I111" s="21">
        <v>52.200663943578789</v>
      </c>
      <c r="J111">
        <v>1</v>
      </c>
      <c r="K111">
        <f t="shared" si="10"/>
        <v>42.109434665251619</v>
      </c>
      <c r="L111">
        <f t="shared" si="11"/>
        <v>44.572384892561494</v>
      </c>
      <c r="M111">
        <f t="shared" si="12"/>
        <v>46.41163796906558</v>
      </c>
      <c r="N111">
        <f t="shared" si="13"/>
        <v>50.500000000000014</v>
      </c>
      <c r="O111">
        <f t="shared" si="14"/>
        <v>50.828693458830159</v>
      </c>
      <c r="P111">
        <f t="shared" si="15"/>
        <v>51.854221376270658</v>
      </c>
      <c r="Q111">
        <f t="shared" si="16"/>
        <v>52.200663943578789</v>
      </c>
    </row>
    <row r="112" spans="1:25" x14ac:dyDescent="0.45">
      <c r="A112" t="s">
        <v>181</v>
      </c>
      <c r="B112" t="s">
        <v>179</v>
      </c>
      <c r="C112" s="21">
        <v>45.725208131724216</v>
      </c>
      <c r="D112" s="21">
        <v>42.086135676621517</v>
      </c>
      <c r="E112" s="21">
        <v>50.499999999999986</v>
      </c>
      <c r="F112" s="21">
        <v>62.859656862448382</v>
      </c>
      <c r="G112" s="21">
        <v>38.902801253169528</v>
      </c>
      <c r="H112" s="21">
        <v>72.978706791015199</v>
      </c>
      <c r="I112" s="21">
        <v>55.490154025757839</v>
      </c>
      <c r="J112">
        <v>1</v>
      </c>
      <c r="K112">
        <f t="shared" si="10"/>
        <v>45.725208131724216</v>
      </c>
      <c r="L112">
        <f t="shared" si="11"/>
        <v>42.086135676621517</v>
      </c>
      <c r="M112">
        <f t="shared" si="12"/>
        <v>50.499999999999986</v>
      </c>
      <c r="N112">
        <f t="shared" si="13"/>
        <v>62.859656862448382</v>
      </c>
      <c r="O112">
        <f t="shared" si="14"/>
        <v>38.902801253169528</v>
      </c>
      <c r="P112">
        <f t="shared" si="15"/>
        <v>72.978706791015199</v>
      </c>
      <c r="Q112">
        <f t="shared" si="16"/>
        <v>55.490154025757839</v>
      </c>
    </row>
    <row r="113" spans="1:17" x14ac:dyDescent="0.45">
      <c r="A113" t="s">
        <v>182</v>
      </c>
      <c r="B113" t="s">
        <v>179</v>
      </c>
      <c r="C113" s="21">
        <v>43.995069984819324</v>
      </c>
      <c r="D113" s="21">
        <v>44.699045653078649</v>
      </c>
      <c r="E113" s="21">
        <v>46.755010107432447</v>
      </c>
      <c r="F113" s="21">
        <v>50.558141316525713</v>
      </c>
      <c r="G113" s="21">
        <v>50.5</v>
      </c>
      <c r="H113" s="21">
        <v>54.400762988870589</v>
      </c>
      <c r="I113" s="21">
        <v>58.218889869535325</v>
      </c>
      <c r="J113">
        <v>1</v>
      </c>
      <c r="K113">
        <f t="shared" si="10"/>
        <v>43.995069984819324</v>
      </c>
      <c r="L113">
        <f t="shared" si="11"/>
        <v>44.699045653078649</v>
      </c>
      <c r="M113">
        <f t="shared" si="12"/>
        <v>46.755010107432447</v>
      </c>
      <c r="N113">
        <f t="shared" si="13"/>
        <v>50.558141316525713</v>
      </c>
      <c r="O113">
        <f t="shared" si="14"/>
        <v>50.5</v>
      </c>
      <c r="P113">
        <f t="shared" si="15"/>
        <v>54.400762988870589</v>
      </c>
      <c r="Q113">
        <f t="shared" si="16"/>
        <v>58.218889869535325</v>
      </c>
    </row>
    <row r="114" spans="1:17" x14ac:dyDescent="0.45">
      <c r="A114" t="s">
        <v>183</v>
      </c>
      <c r="B114" t="s">
        <v>179</v>
      </c>
      <c r="C114" s="21">
        <v>42.811025262597433</v>
      </c>
      <c r="D114" s="21">
        <v>50.5</v>
      </c>
      <c r="E114" s="21">
        <v>51.425606709147601</v>
      </c>
      <c r="F114" s="21">
        <v>49.452054945147857</v>
      </c>
      <c r="G114" s="21">
        <v>52.237348967658434</v>
      </c>
      <c r="H114" s="21">
        <v>54.028784640497321</v>
      </c>
      <c r="I114" s="21">
        <v>45.912118519183387</v>
      </c>
      <c r="J114">
        <v>0.66</v>
      </c>
      <c r="K114">
        <f t="shared" si="10"/>
        <v>28.255276673314306</v>
      </c>
      <c r="L114">
        <f t="shared" si="11"/>
        <v>33.33</v>
      </c>
      <c r="M114">
        <f t="shared" si="12"/>
        <v>33.940900428037416</v>
      </c>
      <c r="N114">
        <f t="shared" si="13"/>
        <v>32.63835626379759</v>
      </c>
      <c r="O114">
        <f t="shared" si="14"/>
        <v>34.476650318654571</v>
      </c>
      <c r="P114">
        <f t="shared" si="15"/>
        <v>35.658997862728235</v>
      </c>
      <c r="Q114">
        <f t="shared" si="16"/>
        <v>30.301998222661037</v>
      </c>
    </row>
    <row r="115" spans="1:17" x14ac:dyDescent="0.45">
      <c r="A115" t="s">
        <v>185</v>
      </c>
      <c r="B115" t="s">
        <v>179</v>
      </c>
      <c r="C115" s="21">
        <v>52.321373337171323</v>
      </c>
      <c r="D115" s="21">
        <v>49.057055972509183</v>
      </c>
      <c r="E115" s="21">
        <v>38.361017388438924</v>
      </c>
      <c r="F115" s="21">
        <v>36.676355011439668</v>
      </c>
      <c r="G115" s="21">
        <v>57.299515568655515</v>
      </c>
      <c r="H115" s="21">
        <v>50.500000000000014</v>
      </c>
      <c r="I115" s="21">
        <v>59.792852583716737</v>
      </c>
      <c r="J115">
        <v>0.66</v>
      </c>
      <c r="K115">
        <f t="shared" si="10"/>
        <v>34.532106402533074</v>
      </c>
      <c r="L115">
        <f t="shared" si="11"/>
        <v>32.37765694185606</v>
      </c>
      <c r="M115">
        <f t="shared" si="12"/>
        <v>25.318271476369691</v>
      </c>
      <c r="N115">
        <f t="shared" si="13"/>
        <v>24.20639430755018</v>
      </c>
      <c r="O115">
        <f t="shared" si="14"/>
        <v>37.81768027531264</v>
      </c>
      <c r="P115">
        <f t="shared" si="15"/>
        <v>33.330000000000013</v>
      </c>
      <c r="Q115">
        <f t="shared" si="16"/>
        <v>39.46328270525305</v>
      </c>
    </row>
    <row r="116" spans="1:17" x14ac:dyDescent="0.45">
      <c r="A116" t="s">
        <v>186</v>
      </c>
      <c r="B116" t="s">
        <v>179</v>
      </c>
      <c r="C116" s="21">
        <v>45.410447761194028</v>
      </c>
      <c r="D116" s="21">
        <v>65.029850746268664</v>
      </c>
      <c r="E116" s="21">
        <v>1</v>
      </c>
      <c r="F116" s="21">
        <v>1</v>
      </c>
      <c r="G116" s="21">
        <v>50.5</v>
      </c>
      <c r="H116" s="21">
        <v>82.145522388059703</v>
      </c>
      <c r="I116" s="21">
        <v>63.67537313432836</v>
      </c>
      <c r="J116">
        <v>0.66</v>
      </c>
      <c r="K116">
        <f t="shared" si="10"/>
        <v>29.970895522388059</v>
      </c>
      <c r="L116">
        <f t="shared" si="11"/>
        <v>42.919701492537321</v>
      </c>
      <c r="M116">
        <f t="shared" si="12"/>
        <v>0.66</v>
      </c>
      <c r="N116">
        <f t="shared" si="13"/>
        <v>0.66</v>
      </c>
      <c r="O116">
        <f t="shared" si="14"/>
        <v>33.33</v>
      </c>
      <c r="P116">
        <f t="shared" si="15"/>
        <v>54.216044776119404</v>
      </c>
      <c r="Q116">
        <f t="shared" si="16"/>
        <v>42.025746268656718</v>
      </c>
    </row>
    <row r="117" spans="1:17" x14ac:dyDescent="0.45">
      <c r="A117" t="s">
        <v>187</v>
      </c>
      <c r="B117" t="s">
        <v>179</v>
      </c>
      <c r="C117" s="21">
        <v>50.500000000000014</v>
      </c>
      <c r="D117" s="21">
        <v>42.265335349152977</v>
      </c>
      <c r="E117" s="21">
        <v>51.596724835854438</v>
      </c>
      <c r="F117" s="21">
        <v>51.208097098521577</v>
      </c>
      <c r="G117" s="21">
        <v>53.518756695935878</v>
      </c>
      <c r="H117" s="21">
        <v>47.933910292382549</v>
      </c>
      <c r="I117" s="21">
        <v>44.098071300731078</v>
      </c>
      <c r="J117">
        <v>0.66</v>
      </c>
      <c r="K117">
        <f t="shared" si="10"/>
        <v>33.330000000000013</v>
      </c>
      <c r="L117">
        <f t="shared" si="11"/>
        <v>27.895121330440965</v>
      </c>
      <c r="M117">
        <f t="shared" si="12"/>
        <v>34.05383839166393</v>
      </c>
      <c r="N117">
        <f t="shared" si="13"/>
        <v>33.797344085024243</v>
      </c>
      <c r="O117">
        <f t="shared" si="14"/>
        <v>35.322379419317684</v>
      </c>
      <c r="P117">
        <f t="shared" si="15"/>
        <v>31.636380792972485</v>
      </c>
      <c r="Q117">
        <f t="shared" si="16"/>
        <v>29.104727058482514</v>
      </c>
    </row>
    <row r="118" spans="1:17" x14ac:dyDescent="0.45">
      <c r="A118" t="s">
        <v>189</v>
      </c>
      <c r="B118" t="s">
        <v>179</v>
      </c>
      <c r="C118" s="21">
        <v>60.777952389843456</v>
      </c>
      <c r="D118" s="21">
        <v>74.597873375928856</v>
      </c>
      <c r="E118" s="21">
        <v>14.515681121856542</v>
      </c>
      <c r="F118" s="21">
        <v>18.205287900439572</v>
      </c>
      <c r="G118" s="21">
        <v>50.5</v>
      </c>
      <c r="H118" s="21">
        <v>55.997837991947556</v>
      </c>
      <c r="I118" s="21">
        <v>23.284560166620661</v>
      </c>
      <c r="J118">
        <v>0.66</v>
      </c>
      <c r="K118">
        <f t="shared" si="10"/>
        <v>40.11344857729668</v>
      </c>
      <c r="L118">
        <f t="shared" si="11"/>
        <v>49.234596428113051</v>
      </c>
      <c r="M118">
        <f t="shared" si="12"/>
        <v>9.5803495404253187</v>
      </c>
      <c r="N118">
        <f t="shared" si="13"/>
        <v>12.015490014290117</v>
      </c>
      <c r="O118">
        <f t="shared" si="14"/>
        <v>33.33</v>
      </c>
      <c r="P118">
        <f t="shared" si="15"/>
        <v>36.95857307468539</v>
      </c>
      <c r="Q118">
        <f t="shared" si="16"/>
        <v>15.367809709969636</v>
      </c>
    </row>
    <row r="119" spans="1:17" x14ac:dyDescent="0.45">
      <c r="A119" t="s">
        <v>304</v>
      </c>
      <c r="B119" t="s">
        <v>179</v>
      </c>
      <c r="C119" s="21">
        <v>65.834935678112856</v>
      </c>
      <c r="D119" s="21">
        <v>58.346558810033734</v>
      </c>
      <c r="E119" s="21">
        <v>17.980119638089903</v>
      </c>
      <c r="F119" s="21">
        <v>42.815329803886698</v>
      </c>
      <c r="G119" s="21">
        <v>50.5</v>
      </c>
      <c r="H119" s="21">
        <v>65.838639662127889</v>
      </c>
      <c r="I119" s="21">
        <v>28.026785900069768</v>
      </c>
      <c r="J119">
        <v>0.66</v>
      </c>
      <c r="K119">
        <f t="shared" si="10"/>
        <v>43.451057547554484</v>
      </c>
      <c r="L119">
        <f t="shared" si="11"/>
        <v>38.508728814622266</v>
      </c>
      <c r="M119">
        <f t="shared" si="12"/>
        <v>11.866878961139337</v>
      </c>
      <c r="N119">
        <f t="shared" si="13"/>
        <v>28.258117670565223</v>
      </c>
      <c r="O119">
        <f t="shared" si="14"/>
        <v>33.33</v>
      </c>
      <c r="P119">
        <f t="shared" si="15"/>
        <v>43.45350217700441</v>
      </c>
      <c r="Q119">
        <f t="shared" si="16"/>
        <v>18.497678694046048</v>
      </c>
    </row>
    <row r="120" spans="1:17" x14ac:dyDescent="0.45">
      <c r="A120" t="s">
        <v>191</v>
      </c>
      <c r="B120" t="s">
        <v>179</v>
      </c>
      <c r="C120" s="21">
        <v>68.698801946836383</v>
      </c>
      <c r="D120" s="21">
        <v>59.321415200299519</v>
      </c>
      <c r="E120" s="21">
        <v>12.582740546611756</v>
      </c>
      <c r="F120" s="21">
        <v>1</v>
      </c>
      <c r="G120" s="21">
        <v>41.122613253463122</v>
      </c>
      <c r="H120" s="21">
        <v>52.798015724447779</v>
      </c>
      <c r="I120" s="21">
        <v>50.5</v>
      </c>
      <c r="J120">
        <v>0.66</v>
      </c>
      <c r="K120">
        <f t="shared" si="10"/>
        <v>45.341209284912019</v>
      </c>
      <c r="L120">
        <f t="shared" si="11"/>
        <v>39.152134032197687</v>
      </c>
      <c r="M120">
        <f t="shared" si="12"/>
        <v>8.3046087607637595</v>
      </c>
      <c r="N120">
        <f t="shared" si="13"/>
        <v>0.66</v>
      </c>
      <c r="O120">
        <f t="shared" si="14"/>
        <v>27.140924747285663</v>
      </c>
      <c r="P120">
        <f t="shared" si="15"/>
        <v>34.846690378135534</v>
      </c>
      <c r="Q120">
        <f t="shared" si="16"/>
        <v>33.33</v>
      </c>
    </row>
    <row r="121" spans="1:17" x14ac:dyDescent="0.45">
      <c r="A121" t="s">
        <v>192</v>
      </c>
      <c r="B121" t="s">
        <v>179</v>
      </c>
      <c r="C121" s="21">
        <v>90.572149189850194</v>
      </c>
      <c r="D121" s="21">
        <v>86.546774686640177</v>
      </c>
      <c r="E121" s="21">
        <v>1</v>
      </c>
      <c r="F121" s="21">
        <v>6.9169978599816568</v>
      </c>
      <c r="G121" s="21">
        <v>44.961326811372672</v>
      </c>
      <c r="H121" s="21">
        <v>57.49143992662794</v>
      </c>
      <c r="I121" s="21">
        <v>50.5</v>
      </c>
      <c r="J121">
        <v>0.66</v>
      </c>
      <c r="K121">
        <f t="shared" si="10"/>
        <v>59.777618465301131</v>
      </c>
      <c r="L121">
        <f t="shared" si="11"/>
        <v>57.120871293182518</v>
      </c>
      <c r="M121">
        <f t="shared" si="12"/>
        <v>0.66</v>
      </c>
      <c r="N121">
        <f t="shared" si="13"/>
        <v>4.5652185875878937</v>
      </c>
      <c r="O121">
        <f t="shared" si="14"/>
        <v>29.674475695505965</v>
      </c>
      <c r="P121">
        <f t="shared" si="15"/>
        <v>37.944350351574442</v>
      </c>
      <c r="Q121">
        <f t="shared" si="16"/>
        <v>33.33</v>
      </c>
    </row>
    <row r="122" spans="1:17" x14ac:dyDescent="0.45">
      <c r="A122" t="s">
        <v>193</v>
      </c>
      <c r="B122" t="s">
        <v>179</v>
      </c>
      <c r="C122" s="21">
        <v>48.343659244917731</v>
      </c>
      <c r="D122" s="21">
        <v>50.5</v>
      </c>
      <c r="E122" s="21">
        <v>60.562923523717338</v>
      </c>
      <c r="F122" s="21">
        <v>52.17715392061956</v>
      </c>
      <c r="G122" s="21">
        <v>52.17715392061956</v>
      </c>
      <c r="H122" s="21">
        <v>46.187318489835434</v>
      </c>
      <c r="I122" s="21">
        <v>1</v>
      </c>
      <c r="J122">
        <v>1</v>
      </c>
      <c r="K122">
        <f t="shared" si="10"/>
        <v>48.343659244917731</v>
      </c>
      <c r="L122">
        <f t="shared" si="11"/>
        <v>50.5</v>
      </c>
      <c r="M122">
        <f t="shared" si="12"/>
        <v>60.562923523717338</v>
      </c>
      <c r="N122">
        <f t="shared" si="13"/>
        <v>52.17715392061956</v>
      </c>
      <c r="O122">
        <f t="shared" si="14"/>
        <v>52.17715392061956</v>
      </c>
      <c r="P122">
        <f t="shared" si="15"/>
        <v>46.187318489835434</v>
      </c>
      <c r="Q122">
        <f t="shared" si="16"/>
        <v>1</v>
      </c>
    </row>
    <row r="123" spans="1:17" x14ac:dyDescent="0.45">
      <c r="A123" t="s">
        <v>195</v>
      </c>
      <c r="B123" t="s">
        <v>179</v>
      </c>
      <c r="C123" s="21">
        <v>53.39</v>
      </c>
      <c r="D123" s="21">
        <v>53.39</v>
      </c>
      <c r="E123" s="21">
        <v>54.5</v>
      </c>
      <c r="F123" s="21">
        <v>49.8</v>
      </c>
      <c r="G123" s="21">
        <v>49.8</v>
      </c>
      <c r="H123" s="21">
        <v>53</v>
      </c>
      <c r="I123" s="21">
        <v>53.9</v>
      </c>
      <c r="J123">
        <v>1</v>
      </c>
      <c r="K123">
        <f t="shared" si="10"/>
        <v>53.39</v>
      </c>
      <c r="L123">
        <f t="shared" si="11"/>
        <v>53.39</v>
      </c>
      <c r="M123">
        <f t="shared" si="12"/>
        <v>54.5</v>
      </c>
      <c r="N123">
        <f t="shared" si="13"/>
        <v>49.8</v>
      </c>
      <c r="O123">
        <f t="shared" si="14"/>
        <v>49.8</v>
      </c>
      <c r="P123">
        <f t="shared" si="15"/>
        <v>53</v>
      </c>
      <c r="Q123">
        <f t="shared" si="16"/>
        <v>53.9</v>
      </c>
    </row>
    <row r="124" spans="1:17" x14ac:dyDescent="0.45">
      <c r="A124" t="s">
        <v>196</v>
      </c>
      <c r="B124" t="s">
        <v>179</v>
      </c>
      <c r="C124" s="21">
        <v>64.63</v>
      </c>
      <c r="D124" s="21">
        <v>64.63</v>
      </c>
      <c r="E124" s="21">
        <v>64.8</v>
      </c>
      <c r="F124" s="21">
        <v>61</v>
      </c>
      <c r="G124" s="21">
        <v>61</v>
      </c>
      <c r="H124" s="21">
        <v>60.6</v>
      </c>
      <c r="I124" s="21">
        <v>61.7</v>
      </c>
      <c r="J124">
        <v>1</v>
      </c>
      <c r="K124">
        <f t="shared" si="10"/>
        <v>64.63</v>
      </c>
      <c r="L124">
        <f t="shared" si="11"/>
        <v>64.63</v>
      </c>
      <c r="M124">
        <f t="shared" si="12"/>
        <v>64.8</v>
      </c>
      <c r="N124">
        <f t="shared" si="13"/>
        <v>61</v>
      </c>
      <c r="O124">
        <f t="shared" si="14"/>
        <v>61</v>
      </c>
      <c r="P124">
        <f t="shared" si="15"/>
        <v>60.6</v>
      </c>
      <c r="Q124">
        <f t="shared" si="16"/>
        <v>61.7</v>
      </c>
    </row>
    <row r="125" spans="1:17" x14ac:dyDescent="0.45">
      <c r="A125" t="s">
        <v>197</v>
      </c>
      <c r="B125" t="s">
        <v>179</v>
      </c>
      <c r="C125" s="21">
        <v>56.23</v>
      </c>
      <c r="D125" s="21">
        <v>56.23</v>
      </c>
      <c r="E125" s="21">
        <v>54.6</v>
      </c>
      <c r="F125" s="21">
        <v>50.7</v>
      </c>
      <c r="G125" s="21">
        <v>50.7</v>
      </c>
      <c r="H125" s="21">
        <v>51.1</v>
      </c>
      <c r="I125" s="21">
        <v>55.9</v>
      </c>
      <c r="J125">
        <v>1</v>
      </c>
      <c r="K125">
        <f t="shared" si="10"/>
        <v>56.23</v>
      </c>
      <c r="L125">
        <f t="shared" si="11"/>
        <v>56.23</v>
      </c>
      <c r="M125">
        <f t="shared" si="12"/>
        <v>54.6</v>
      </c>
      <c r="N125">
        <f t="shared" si="13"/>
        <v>50.7</v>
      </c>
      <c r="O125">
        <f t="shared" si="14"/>
        <v>50.7</v>
      </c>
      <c r="P125">
        <f t="shared" si="15"/>
        <v>51.1</v>
      </c>
      <c r="Q125">
        <f t="shared" si="16"/>
        <v>55.9</v>
      </c>
    </row>
    <row r="126" spans="1:17" x14ac:dyDescent="0.45">
      <c r="A126" t="s">
        <v>198</v>
      </c>
      <c r="B126" t="s">
        <v>179</v>
      </c>
      <c r="C126" s="21">
        <v>45.196428571428577</v>
      </c>
      <c r="D126" s="21">
        <v>46.964285714285715</v>
      </c>
      <c r="E126" t="s">
        <v>263</v>
      </c>
      <c r="F126" s="21">
        <v>41.660714285714285</v>
      </c>
      <c r="G126" s="21">
        <v>55.803571428571431</v>
      </c>
      <c r="H126" s="21">
        <v>54.035714285714285</v>
      </c>
      <c r="I126" s="21">
        <v>54.035714285714285</v>
      </c>
      <c r="J126">
        <v>1</v>
      </c>
      <c r="K126">
        <f t="shared" si="10"/>
        <v>45.196428571428577</v>
      </c>
      <c r="L126">
        <f t="shared" si="11"/>
        <v>46.964285714285715</v>
      </c>
      <c r="M126" t="s">
        <v>263</v>
      </c>
      <c r="N126">
        <f t="shared" si="13"/>
        <v>41.660714285714285</v>
      </c>
      <c r="O126">
        <f t="shared" si="14"/>
        <v>55.803571428571431</v>
      </c>
      <c r="P126">
        <f t="shared" si="15"/>
        <v>54.035714285714285</v>
      </c>
      <c r="Q126">
        <f t="shared" si="16"/>
        <v>54.035714285714285</v>
      </c>
    </row>
    <row r="127" spans="1:17" x14ac:dyDescent="0.45">
      <c r="A127" t="s">
        <v>200</v>
      </c>
      <c r="B127" t="s">
        <v>179</v>
      </c>
      <c r="C127" s="21">
        <v>30.7</v>
      </c>
      <c r="D127" s="21">
        <v>54.166666666666671</v>
      </c>
      <c r="E127" t="s">
        <v>263</v>
      </c>
      <c r="F127" s="21">
        <v>52.7</v>
      </c>
      <c r="G127" s="21">
        <v>48.300000000000004</v>
      </c>
      <c r="H127" s="21">
        <v>60.033333333333339</v>
      </c>
      <c r="I127" s="21">
        <v>21.9</v>
      </c>
      <c r="J127">
        <v>1</v>
      </c>
      <c r="K127">
        <f t="shared" si="10"/>
        <v>30.7</v>
      </c>
      <c r="L127">
        <f t="shared" si="11"/>
        <v>54.166666666666671</v>
      </c>
      <c r="M127" t="s">
        <v>263</v>
      </c>
      <c r="N127">
        <f t="shared" si="13"/>
        <v>52.7</v>
      </c>
      <c r="O127">
        <f t="shared" si="14"/>
        <v>48.300000000000004</v>
      </c>
      <c r="P127">
        <f t="shared" si="15"/>
        <v>60.033333333333339</v>
      </c>
      <c r="Q127">
        <f t="shared" si="16"/>
        <v>21.9</v>
      </c>
    </row>
    <row r="128" spans="1:17" x14ac:dyDescent="0.45">
      <c r="A128" t="s">
        <v>201</v>
      </c>
      <c r="B128" t="s">
        <v>179</v>
      </c>
      <c r="C128" s="21">
        <v>53.561855670103093</v>
      </c>
      <c r="D128" s="21">
        <v>47.438144329896907</v>
      </c>
      <c r="E128" t="s">
        <v>263</v>
      </c>
      <c r="F128" s="21">
        <v>53.561855670103093</v>
      </c>
      <c r="G128" s="21">
        <v>55.603092783505161</v>
      </c>
      <c r="H128" s="21">
        <v>22.943298969072163</v>
      </c>
      <c r="I128" s="21">
        <v>29.067010309278349</v>
      </c>
      <c r="J128">
        <v>1</v>
      </c>
      <c r="K128">
        <f t="shared" si="10"/>
        <v>53.561855670103093</v>
      </c>
      <c r="L128">
        <f t="shared" si="11"/>
        <v>47.438144329896907</v>
      </c>
      <c r="M128" t="s">
        <v>263</v>
      </c>
      <c r="N128">
        <f t="shared" si="13"/>
        <v>53.561855670103093</v>
      </c>
      <c r="O128">
        <f t="shared" si="14"/>
        <v>55.603092783505161</v>
      </c>
      <c r="P128">
        <f t="shared" si="15"/>
        <v>22.943298969072163</v>
      </c>
      <c r="Q128">
        <f t="shared" si="16"/>
        <v>29.067010309278349</v>
      </c>
    </row>
    <row r="129" spans="1:25" x14ac:dyDescent="0.45">
      <c r="A129" t="s">
        <v>202</v>
      </c>
      <c r="B129" t="s">
        <v>179</v>
      </c>
      <c r="C129" s="21">
        <v>25.136363636363637</v>
      </c>
      <c r="D129" s="21">
        <v>54.590909090909086</v>
      </c>
      <c r="E129" t="s">
        <v>263</v>
      </c>
      <c r="F129" s="21">
        <v>49.681818181818187</v>
      </c>
      <c r="G129" s="21">
        <v>52.95454545454546</v>
      </c>
      <c r="H129" s="21">
        <v>41.5</v>
      </c>
      <c r="I129" s="21">
        <v>51.318181818181813</v>
      </c>
      <c r="J129">
        <v>1</v>
      </c>
      <c r="K129">
        <f t="shared" si="10"/>
        <v>25.136363636363637</v>
      </c>
      <c r="L129">
        <f t="shared" si="11"/>
        <v>54.590909090909086</v>
      </c>
      <c r="M129" t="s">
        <v>263</v>
      </c>
      <c r="N129">
        <f t="shared" si="13"/>
        <v>49.681818181818187</v>
      </c>
      <c r="O129">
        <f t="shared" si="14"/>
        <v>52.95454545454546</v>
      </c>
      <c r="P129">
        <f t="shared" si="15"/>
        <v>41.5</v>
      </c>
      <c r="Q129">
        <f t="shared" si="16"/>
        <v>51.318181818181813</v>
      </c>
    </row>
    <row r="130" spans="1:25" x14ac:dyDescent="0.45">
      <c r="A130" t="s">
        <v>203</v>
      </c>
      <c r="B130" t="s">
        <v>179</v>
      </c>
      <c r="C130" s="21">
        <v>1</v>
      </c>
      <c r="D130" s="21">
        <v>60.567796610169488</v>
      </c>
      <c r="E130" t="s">
        <v>263</v>
      </c>
      <c r="F130" s="21">
        <v>63.923728813559322</v>
      </c>
      <c r="G130" s="21">
        <v>57.211864406779668</v>
      </c>
      <c r="H130" s="21">
        <v>43.788135593220339</v>
      </c>
      <c r="I130" s="21">
        <v>30.364406779661017</v>
      </c>
      <c r="J130">
        <v>1</v>
      </c>
      <c r="K130">
        <f t="shared" ref="K130:K159" si="19">C130*$J130</f>
        <v>1</v>
      </c>
      <c r="L130">
        <f t="shared" ref="L130:L159" si="20">D130*$J130</f>
        <v>60.567796610169488</v>
      </c>
      <c r="M130" t="s">
        <v>263</v>
      </c>
      <c r="N130">
        <f t="shared" ref="N130:N159" si="21">F130*$J130</f>
        <v>63.923728813559322</v>
      </c>
      <c r="O130">
        <f t="shared" ref="O130:O159" si="22">G130*$J130</f>
        <v>57.211864406779668</v>
      </c>
      <c r="P130">
        <f t="shared" ref="P130:P159" si="23">H130*$J130</f>
        <v>43.788135593220339</v>
      </c>
      <c r="Q130">
        <f t="shared" ref="Q130:Q159" si="24">I130*$J130</f>
        <v>30.364406779661017</v>
      </c>
    </row>
    <row r="131" spans="1:25" x14ac:dyDescent="0.45">
      <c r="A131" t="s">
        <v>205</v>
      </c>
      <c r="B131" t="s">
        <v>179</v>
      </c>
      <c r="C131" s="21">
        <v>1</v>
      </c>
      <c r="D131" s="21">
        <v>48.347826086956523</v>
      </c>
      <c r="E131" t="s">
        <v>263</v>
      </c>
      <c r="F131" s="21">
        <v>52.652173913043477</v>
      </c>
      <c r="G131" s="21">
        <v>63.413043478260875</v>
      </c>
      <c r="H131" s="21">
        <v>100</v>
      </c>
      <c r="I131" s="21">
        <v>33.282608695652172</v>
      </c>
      <c r="J131">
        <v>1</v>
      </c>
      <c r="K131">
        <f t="shared" si="19"/>
        <v>1</v>
      </c>
      <c r="L131">
        <f t="shared" si="20"/>
        <v>48.347826086956523</v>
      </c>
      <c r="M131" t="s">
        <v>263</v>
      </c>
      <c r="N131">
        <f t="shared" si="21"/>
        <v>52.652173913043477</v>
      </c>
      <c r="O131">
        <f t="shared" si="22"/>
        <v>63.413043478260875</v>
      </c>
      <c r="P131">
        <f t="shared" si="23"/>
        <v>100</v>
      </c>
      <c r="Q131">
        <f t="shared" si="24"/>
        <v>33.282608695652172</v>
      </c>
    </row>
    <row r="132" spans="1:25" x14ac:dyDescent="0.45">
      <c r="A132" t="s">
        <v>207</v>
      </c>
      <c r="B132" t="s">
        <v>179</v>
      </c>
      <c r="C132" t="s">
        <v>263</v>
      </c>
      <c r="D132" t="s">
        <v>263</v>
      </c>
      <c r="E132" t="s">
        <v>263</v>
      </c>
      <c r="F132" t="s">
        <v>263</v>
      </c>
      <c r="G132" s="21">
        <v>55.45</v>
      </c>
      <c r="H132" s="21">
        <v>50.5</v>
      </c>
      <c r="I132" s="21">
        <v>50.5</v>
      </c>
      <c r="J132">
        <v>1</v>
      </c>
      <c r="K132" t="s">
        <v>263</v>
      </c>
      <c r="L132" t="s">
        <v>263</v>
      </c>
      <c r="M132" t="s">
        <v>263</v>
      </c>
      <c r="N132" t="s">
        <v>263</v>
      </c>
      <c r="O132">
        <f t="shared" si="22"/>
        <v>55.45</v>
      </c>
      <c r="P132">
        <f t="shared" si="23"/>
        <v>50.5</v>
      </c>
      <c r="Q132">
        <f t="shared" si="24"/>
        <v>50.5</v>
      </c>
    </row>
    <row r="133" spans="1:25" x14ac:dyDescent="0.45">
      <c r="A133" t="s">
        <v>209</v>
      </c>
      <c r="B133" t="s">
        <v>179</v>
      </c>
      <c r="C133" t="s">
        <v>263</v>
      </c>
      <c r="D133" t="s">
        <v>263</v>
      </c>
      <c r="E133" t="s">
        <v>263</v>
      </c>
      <c r="F133" t="s">
        <v>263</v>
      </c>
      <c r="G133" s="21">
        <v>56.499999999999993</v>
      </c>
      <c r="H133" s="21">
        <v>50.5</v>
      </c>
      <c r="I133" s="21">
        <v>37</v>
      </c>
      <c r="J133">
        <v>1</v>
      </c>
      <c r="K133" t="s">
        <v>263</v>
      </c>
      <c r="L133" t="s">
        <v>263</v>
      </c>
      <c r="M133" t="s">
        <v>263</v>
      </c>
      <c r="N133" t="s">
        <v>263</v>
      </c>
      <c r="O133">
        <f t="shared" si="22"/>
        <v>56.499999999999993</v>
      </c>
      <c r="P133">
        <f t="shared" si="23"/>
        <v>50.5</v>
      </c>
      <c r="Q133">
        <f t="shared" si="24"/>
        <v>37</v>
      </c>
    </row>
    <row r="134" spans="1:25" x14ac:dyDescent="0.45">
      <c r="A134" t="s">
        <v>211</v>
      </c>
      <c r="B134" t="s">
        <v>179</v>
      </c>
      <c r="C134" t="s">
        <v>263</v>
      </c>
      <c r="D134" t="s">
        <v>263</v>
      </c>
      <c r="E134" t="s">
        <v>263</v>
      </c>
      <c r="F134" t="s">
        <v>263</v>
      </c>
      <c r="G134" s="21">
        <v>92.18421052631578</v>
      </c>
      <c r="H134" s="21">
        <v>50.5</v>
      </c>
      <c r="I134" s="21">
        <v>45.289473684210527</v>
      </c>
      <c r="J134">
        <v>1</v>
      </c>
      <c r="K134" t="s">
        <v>263</v>
      </c>
      <c r="L134" t="s">
        <v>263</v>
      </c>
      <c r="M134" t="s">
        <v>263</v>
      </c>
      <c r="N134" t="s">
        <v>263</v>
      </c>
      <c r="O134">
        <f t="shared" si="22"/>
        <v>92.18421052631578</v>
      </c>
      <c r="P134">
        <f t="shared" si="23"/>
        <v>50.5</v>
      </c>
      <c r="Q134">
        <f t="shared" si="24"/>
        <v>45.289473684210527</v>
      </c>
    </row>
    <row r="135" spans="1:25" x14ac:dyDescent="0.45">
      <c r="A135" t="s">
        <v>213</v>
      </c>
      <c r="B135" t="s">
        <v>179</v>
      </c>
      <c r="C135" s="21">
        <v>9.9919064748201283</v>
      </c>
      <c r="D135" s="21">
        <v>14.443345323740992</v>
      </c>
      <c r="E135" s="21">
        <v>24.681654676258969</v>
      </c>
      <c r="F135" s="21">
        <v>50.5</v>
      </c>
      <c r="G135" s="21">
        <v>51.390287769784159</v>
      </c>
      <c r="H135" s="21">
        <v>53.170863309352526</v>
      </c>
      <c r="I135" s="21">
        <v>66.080035971223026</v>
      </c>
      <c r="J135">
        <v>1</v>
      </c>
      <c r="K135">
        <f t="shared" si="19"/>
        <v>9.9919064748201283</v>
      </c>
      <c r="L135">
        <f t="shared" si="20"/>
        <v>14.443345323740992</v>
      </c>
      <c r="M135">
        <f t="shared" ref="M135:M159" si="25">E135*$J135</f>
        <v>24.681654676258969</v>
      </c>
      <c r="N135">
        <f t="shared" si="21"/>
        <v>50.5</v>
      </c>
      <c r="O135">
        <f t="shared" si="22"/>
        <v>51.390287769784159</v>
      </c>
      <c r="P135">
        <f t="shared" si="23"/>
        <v>53.170863309352526</v>
      </c>
      <c r="Q135">
        <f t="shared" si="24"/>
        <v>66.080035971223026</v>
      </c>
    </row>
    <row r="136" spans="1:25" x14ac:dyDescent="0.45">
      <c r="A136" t="s">
        <v>215</v>
      </c>
      <c r="B136" t="s">
        <v>179</v>
      </c>
      <c r="C136" s="21">
        <v>66.663265306122469</v>
      </c>
      <c r="D136" s="21">
        <v>68.410645329387762</v>
      </c>
      <c r="E136" s="21">
        <v>94.948979591836732</v>
      </c>
      <c r="F136" s="21">
        <v>42.418367346938787</v>
      </c>
      <c r="G136" s="21">
        <v>28.275510204081641</v>
      </c>
      <c r="H136" s="21">
        <v>28.275510204081641</v>
      </c>
      <c r="I136" s="21">
        <v>50.5</v>
      </c>
      <c r="J136">
        <v>1</v>
      </c>
      <c r="K136">
        <f t="shared" si="19"/>
        <v>66.663265306122469</v>
      </c>
      <c r="L136">
        <f t="shared" si="20"/>
        <v>68.410645329387762</v>
      </c>
      <c r="M136">
        <f t="shared" si="25"/>
        <v>94.948979591836732</v>
      </c>
      <c r="N136">
        <f t="shared" si="21"/>
        <v>42.418367346938787</v>
      </c>
      <c r="O136">
        <f t="shared" si="22"/>
        <v>28.275510204081641</v>
      </c>
      <c r="P136">
        <f t="shared" si="23"/>
        <v>28.275510204081641</v>
      </c>
      <c r="Q136">
        <f t="shared" si="24"/>
        <v>50.5</v>
      </c>
    </row>
    <row r="137" spans="1:25" x14ac:dyDescent="0.45">
      <c r="A137" t="s">
        <v>309</v>
      </c>
      <c r="B137" t="s">
        <v>179</v>
      </c>
      <c r="C137" s="21">
        <v>20.066666666666677</v>
      </c>
      <c r="D137" s="21">
        <v>24.466666666666661</v>
      </c>
      <c r="E137" s="21">
        <v>32.900000000000013</v>
      </c>
      <c r="F137" s="21">
        <v>50.5</v>
      </c>
      <c r="G137" s="21">
        <v>52.699999999999982</v>
      </c>
      <c r="H137" s="21">
        <v>54.166666666666671</v>
      </c>
      <c r="I137" s="21">
        <v>62.233333333333341</v>
      </c>
      <c r="J137">
        <v>1</v>
      </c>
      <c r="K137">
        <f t="shared" si="19"/>
        <v>20.066666666666677</v>
      </c>
      <c r="L137">
        <f t="shared" si="20"/>
        <v>24.466666666666661</v>
      </c>
      <c r="M137">
        <f t="shared" si="25"/>
        <v>32.900000000000013</v>
      </c>
      <c r="N137">
        <f t="shared" si="21"/>
        <v>50.5</v>
      </c>
      <c r="O137">
        <f t="shared" si="22"/>
        <v>52.699999999999982</v>
      </c>
      <c r="P137">
        <f t="shared" si="23"/>
        <v>54.166666666666671</v>
      </c>
      <c r="Q137">
        <f t="shared" si="24"/>
        <v>62.233333333333341</v>
      </c>
    </row>
    <row r="138" spans="1:25" x14ac:dyDescent="0.45">
      <c r="A138" t="s">
        <v>219</v>
      </c>
      <c r="B138" t="s">
        <v>179</v>
      </c>
      <c r="C138" s="21">
        <v>31.164062499999993</v>
      </c>
      <c r="D138" s="21">
        <v>35.804687499999993</v>
      </c>
      <c r="E138" s="21">
        <v>50.499999999999993</v>
      </c>
      <c r="F138" s="21">
        <v>56.687499999999986</v>
      </c>
      <c r="G138" s="21">
        <v>56.687499999999986</v>
      </c>
      <c r="H138" s="21">
        <v>45.859374999999986</v>
      </c>
      <c r="I138" s="21">
        <v>52.046874999999986</v>
      </c>
      <c r="J138">
        <v>1</v>
      </c>
      <c r="K138">
        <f t="shared" si="19"/>
        <v>31.164062499999993</v>
      </c>
      <c r="L138">
        <f t="shared" si="20"/>
        <v>35.804687499999993</v>
      </c>
      <c r="M138">
        <f t="shared" si="25"/>
        <v>50.499999999999993</v>
      </c>
      <c r="N138">
        <f t="shared" si="21"/>
        <v>56.687499999999986</v>
      </c>
      <c r="O138">
        <f t="shared" si="22"/>
        <v>56.687499999999986</v>
      </c>
      <c r="P138">
        <f t="shared" si="23"/>
        <v>45.859374999999986</v>
      </c>
      <c r="Q138">
        <f t="shared" si="24"/>
        <v>52.046874999999986</v>
      </c>
    </row>
    <row r="139" spans="1:25" x14ac:dyDescent="0.45">
      <c r="A139" t="s">
        <v>221</v>
      </c>
      <c r="B139" t="s">
        <v>179</v>
      </c>
      <c r="C139" s="21">
        <v>89</v>
      </c>
      <c r="D139" s="21">
        <v>92</v>
      </c>
      <c r="E139" s="21">
        <v>94</v>
      </c>
      <c r="F139" s="21">
        <v>95</v>
      </c>
      <c r="G139" s="21">
        <v>95</v>
      </c>
      <c r="H139" s="21">
        <v>98</v>
      </c>
      <c r="I139" s="21">
        <v>98</v>
      </c>
      <c r="J139">
        <v>0.66</v>
      </c>
      <c r="K139">
        <f t="shared" si="19"/>
        <v>58.74</v>
      </c>
      <c r="L139">
        <f t="shared" si="20"/>
        <v>60.720000000000006</v>
      </c>
      <c r="M139">
        <f t="shared" si="25"/>
        <v>62.040000000000006</v>
      </c>
      <c r="N139">
        <f t="shared" si="21"/>
        <v>62.7</v>
      </c>
      <c r="O139">
        <f t="shared" si="22"/>
        <v>62.7</v>
      </c>
      <c r="P139">
        <f t="shared" si="23"/>
        <v>64.680000000000007</v>
      </c>
      <c r="Q139">
        <f t="shared" si="24"/>
        <v>64.680000000000007</v>
      </c>
    </row>
    <row r="140" spans="1:25" x14ac:dyDescent="0.45">
      <c r="A140" t="s">
        <v>224</v>
      </c>
      <c r="B140" t="s">
        <v>179</v>
      </c>
      <c r="C140" s="21">
        <v>84</v>
      </c>
      <c r="D140" s="21">
        <v>86</v>
      </c>
      <c r="E140" s="21">
        <v>93</v>
      </c>
      <c r="F140" s="21">
        <v>94</v>
      </c>
      <c r="G140" s="21">
        <v>96</v>
      </c>
      <c r="H140" s="21">
        <v>96</v>
      </c>
      <c r="I140" s="21">
        <v>97</v>
      </c>
      <c r="J140">
        <v>1</v>
      </c>
      <c r="K140">
        <f t="shared" si="19"/>
        <v>84</v>
      </c>
      <c r="L140">
        <f t="shared" si="20"/>
        <v>86</v>
      </c>
      <c r="M140">
        <f t="shared" si="25"/>
        <v>93</v>
      </c>
      <c r="N140">
        <f t="shared" si="21"/>
        <v>94</v>
      </c>
      <c r="O140">
        <f t="shared" si="22"/>
        <v>96</v>
      </c>
      <c r="P140">
        <f t="shared" si="23"/>
        <v>96</v>
      </c>
      <c r="Q140">
        <f t="shared" si="24"/>
        <v>97</v>
      </c>
    </row>
    <row r="141" spans="1:25" x14ac:dyDescent="0.45">
      <c r="A141" t="s">
        <v>226</v>
      </c>
      <c r="B141" t="s">
        <v>179</v>
      </c>
      <c r="C141" s="21">
        <v>48</v>
      </c>
      <c r="D141" s="21">
        <v>56</v>
      </c>
      <c r="E141" s="21">
        <v>73</v>
      </c>
      <c r="F141" s="21">
        <v>78</v>
      </c>
      <c r="G141" s="21">
        <v>82</v>
      </c>
      <c r="H141" s="21">
        <v>78</v>
      </c>
      <c r="I141" s="21">
        <v>81</v>
      </c>
      <c r="J141">
        <v>1</v>
      </c>
      <c r="K141">
        <f t="shared" si="19"/>
        <v>48</v>
      </c>
      <c r="L141">
        <f t="shared" si="20"/>
        <v>56</v>
      </c>
      <c r="M141">
        <f t="shared" si="25"/>
        <v>73</v>
      </c>
      <c r="N141">
        <f t="shared" si="21"/>
        <v>78</v>
      </c>
      <c r="O141">
        <f t="shared" si="22"/>
        <v>82</v>
      </c>
      <c r="P141">
        <f t="shared" si="23"/>
        <v>78</v>
      </c>
      <c r="Q141">
        <f t="shared" si="24"/>
        <v>81</v>
      </c>
    </row>
    <row r="142" spans="1:25" x14ac:dyDescent="0.45">
      <c r="A142" t="s">
        <v>228</v>
      </c>
      <c r="B142" t="s">
        <v>179</v>
      </c>
      <c r="C142" s="21">
        <v>69.981320488721792</v>
      </c>
      <c r="D142" s="21">
        <v>85.520567522875567</v>
      </c>
      <c r="E142" s="21">
        <v>100</v>
      </c>
      <c r="F142" s="21">
        <v>100</v>
      </c>
      <c r="G142" s="21">
        <v>100</v>
      </c>
      <c r="H142" s="21">
        <v>100</v>
      </c>
      <c r="I142" s="21">
        <v>100</v>
      </c>
      <c r="J142">
        <v>0.66</v>
      </c>
      <c r="K142">
        <f t="shared" si="19"/>
        <v>46.187671522556386</v>
      </c>
      <c r="L142">
        <f t="shared" si="20"/>
        <v>56.443574565097876</v>
      </c>
      <c r="M142">
        <f t="shared" si="25"/>
        <v>66</v>
      </c>
      <c r="N142">
        <f t="shared" si="21"/>
        <v>66</v>
      </c>
      <c r="O142">
        <f t="shared" si="22"/>
        <v>66</v>
      </c>
      <c r="P142">
        <f t="shared" si="23"/>
        <v>66</v>
      </c>
      <c r="Q142">
        <f t="shared" si="24"/>
        <v>66</v>
      </c>
    </row>
    <row r="143" spans="1:25" x14ac:dyDescent="0.45">
      <c r="A143" t="s">
        <v>229</v>
      </c>
      <c r="B143" t="s">
        <v>179</v>
      </c>
      <c r="C143" s="21">
        <v>1</v>
      </c>
      <c r="D143" s="21">
        <v>1</v>
      </c>
      <c r="E143" s="21">
        <v>1</v>
      </c>
      <c r="F143" s="21">
        <v>1</v>
      </c>
      <c r="G143" s="21">
        <v>1</v>
      </c>
      <c r="H143" s="21">
        <v>1</v>
      </c>
      <c r="I143" s="21">
        <v>1</v>
      </c>
      <c r="J143">
        <v>0.66</v>
      </c>
      <c r="K143">
        <f t="shared" si="19"/>
        <v>0.66</v>
      </c>
      <c r="L143">
        <f t="shared" si="20"/>
        <v>0.66</v>
      </c>
      <c r="M143">
        <f t="shared" si="25"/>
        <v>0.66</v>
      </c>
      <c r="N143">
        <f t="shared" si="21"/>
        <v>0.66</v>
      </c>
      <c r="O143">
        <f t="shared" si="22"/>
        <v>0.66</v>
      </c>
      <c r="P143">
        <f t="shared" si="23"/>
        <v>0.66</v>
      </c>
      <c r="Q143">
        <f t="shared" si="24"/>
        <v>0.66</v>
      </c>
    </row>
    <row r="144" spans="1:25" x14ac:dyDescent="0.45">
      <c r="A144" t="s">
        <v>230</v>
      </c>
      <c r="B144" t="s">
        <v>179</v>
      </c>
      <c r="C144" s="21">
        <v>55.929916978848738</v>
      </c>
      <c r="D144" s="21">
        <v>55.49752627223463</v>
      </c>
      <c r="E144" s="21">
        <v>53.158652263282931</v>
      </c>
      <c r="F144" s="21">
        <v>49.87718119610966</v>
      </c>
      <c r="G144" s="21">
        <v>48.445666972175012</v>
      </c>
      <c r="H144" s="21">
        <v>49.457270357088831</v>
      </c>
      <c r="I144" s="21">
        <v>50.5</v>
      </c>
      <c r="J144">
        <v>1</v>
      </c>
      <c r="K144">
        <f t="shared" si="19"/>
        <v>55.929916978848738</v>
      </c>
      <c r="L144">
        <f t="shared" si="20"/>
        <v>55.49752627223463</v>
      </c>
      <c r="M144">
        <f t="shared" si="25"/>
        <v>53.158652263282931</v>
      </c>
      <c r="N144">
        <f t="shared" si="21"/>
        <v>49.87718119610966</v>
      </c>
      <c r="O144">
        <f t="shared" si="22"/>
        <v>48.445666972175012</v>
      </c>
      <c r="P144">
        <f t="shared" si="23"/>
        <v>49.457270357088831</v>
      </c>
      <c r="Q144">
        <f t="shared" si="24"/>
        <v>50.5</v>
      </c>
      <c r="R144">
        <f>SUM(J111:J144)</f>
        <v>30.26</v>
      </c>
      <c r="S144">
        <f>SUM(K111:K144)/($R144-3)</f>
        <v>45.751765290789521</v>
      </c>
      <c r="T144">
        <f t="shared" ref="T144:V144" si="26">SUM(L111:L144)/($R144-3)</f>
        <v>53.087617414204836</v>
      </c>
      <c r="U144">
        <f>SUM(M111:M144)/($R144-9)</f>
        <v>49.548622092661958</v>
      </c>
      <c r="V144">
        <f t="shared" si="26"/>
        <v>50.620660764332207</v>
      </c>
      <c r="W144">
        <f t="shared" ref="W144:Y144" si="27">SUM(O111:O144)/$R144</f>
        <v>56.199935628311813</v>
      </c>
      <c r="X144">
        <f t="shared" si="27"/>
        <v>56.45194040904633</v>
      </c>
      <c r="Y144">
        <f t="shared" si="27"/>
        <v>50.34000629131512</v>
      </c>
    </row>
    <row r="145" spans="1:25" x14ac:dyDescent="0.45">
      <c r="A145" t="s">
        <v>232</v>
      </c>
      <c r="B145" t="s">
        <v>233</v>
      </c>
      <c r="C145" s="21">
        <v>51.428705440900565</v>
      </c>
      <c r="D145" s="21">
        <v>52.26454033771109</v>
      </c>
      <c r="E145" s="21">
        <v>50.360694183864929</v>
      </c>
      <c r="F145" s="21">
        <v>50.500000000000014</v>
      </c>
      <c r="G145" s="21">
        <v>49.014071294559109</v>
      </c>
      <c r="H145" s="21">
        <v>49.199812382739225</v>
      </c>
      <c r="I145" s="21">
        <v>50.592870544090069</v>
      </c>
      <c r="J145">
        <v>0.66</v>
      </c>
      <c r="K145">
        <f t="shared" si="19"/>
        <v>33.942945590994377</v>
      </c>
      <c r="L145">
        <f t="shared" si="20"/>
        <v>34.494596622889318</v>
      </c>
      <c r="M145">
        <f t="shared" si="25"/>
        <v>33.238058161350857</v>
      </c>
      <c r="N145">
        <f t="shared" si="21"/>
        <v>33.330000000000013</v>
      </c>
      <c r="O145">
        <f t="shared" si="22"/>
        <v>32.349287054409011</v>
      </c>
      <c r="P145">
        <f t="shared" si="23"/>
        <v>32.471876172607892</v>
      </c>
      <c r="Q145">
        <f t="shared" si="24"/>
        <v>33.39129455909945</v>
      </c>
    </row>
    <row r="146" spans="1:25" x14ac:dyDescent="0.45">
      <c r="A146" t="s">
        <v>234</v>
      </c>
      <c r="B146" t="s">
        <v>233</v>
      </c>
      <c r="C146" s="21">
        <v>62.153683102826221</v>
      </c>
      <c r="D146" s="21">
        <v>62.508057726999397</v>
      </c>
      <c r="E146" s="21">
        <v>1</v>
      </c>
      <c r="F146" s="21">
        <v>1</v>
      </c>
      <c r="G146" s="21">
        <v>24.877044497895369</v>
      </c>
      <c r="H146" s="21">
        <v>50.863800360793746</v>
      </c>
      <c r="I146" s="21">
        <v>50.5</v>
      </c>
      <c r="J146">
        <v>1</v>
      </c>
      <c r="K146">
        <f t="shared" si="19"/>
        <v>62.153683102826221</v>
      </c>
      <c r="L146">
        <f t="shared" si="20"/>
        <v>62.508057726999397</v>
      </c>
      <c r="M146">
        <f t="shared" si="25"/>
        <v>1</v>
      </c>
      <c r="N146">
        <f t="shared" si="21"/>
        <v>1</v>
      </c>
      <c r="O146">
        <f t="shared" si="22"/>
        <v>24.877044497895369</v>
      </c>
      <c r="P146">
        <f t="shared" si="23"/>
        <v>50.863800360793746</v>
      </c>
      <c r="Q146">
        <f t="shared" si="24"/>
        <v>50.5</v>
      </c>
    </row>
    <row r="147" spans="1:25" x14ac:dyDescent="0.45">
      <c r="A147" t="s">
        <v>236</v>
      </c>
      <c r="B147" t="s">
        <v>233</v>
      </c>
      <c r="C147" s="21">
        <v>70.147038845881468</v>
      </c>
      <c r="D147" s="21">
        <v>70.196161067948609</v>
      </c>
      <c r="E147" s="21">
        <v>1</v>
      </c>
      <c r="F147" s="21">
        <v>1</v>
      </c>
      <c r="G147" s="21">
        <v>31.49114549969736</v>
      </c>
      <c r="H147" s="21">
        <v>50.5</v>
      </c>
      <c r="I147" s="21">
        <v>58.374646284629584</v>
      </c>
      <c r="J147">
        <v>1</v>
      </c>
      <c r="K147">
        <f t="shared" si="19"/>
        <v>70.147038845881468</v>
      </c>
      <c r="L147">
        <f t="shared" si="20"/>
        <v>70.196161067948609</v>
      </c>
      <c r="M147">
        <f t="shared" si="25"/>
        <v>1</v>
      </c>
      <c r="N147">
        <f t="shared" si="21"/>
        <v>1</v>
      </c>
      <c r="O147">
        <f t="shared" si="22"/>
        <v>31.49114549969736</v>
      </c>
      <c r="P147">
        <f t="shared" si="23"/>
        <v>50.5</v>
      </c>
      <c r="Q147">
        <f t="shared" si="24"/>
        <v>58.374646284629584</v>
      </c>
    </row>
    <row r="148" spans="1:25" x14ac:dyDescent="0.45">
      <c r="A148" t="s">
        <v>237</v>
      </c>
      <c r="B148" t="s">
        <v>233</v>
      </c>
      <c r="C148" s="21">
        <v>65.76554886073427</v>
      </c>
      <c r="D148" s="21">
        <v>57.073566758908179</v>
      </c>
      <c r="E148" s="21">
        <v>54.832962233145764</v>
      </c>
      <c r="F148" s="21">
        <v>50.5</v>
      </c>
      <c r="G148" s="21">
        <v>47.722749034309579</v>
      </c>
      <c r="H148" s="21">
        <v>47.087858265812066</v>
      </c>
      <c r="I148" s="21">
        <v>43.278865785036956</v>
      </c>
      <c r="J148">
        <v>0.66</v>
      </c>
      <c r="K148">
        <f t="shared" si="19"/>
        <v>43.405262248084618</v>
      </c>
      <c r="L148">
        <f t="shared" si="20"/>
        <v>37.668554060879401</v>
      </c>
      <c r="M148">
        <f t="shared" si="25"/>
        <v>36.189755073876206</v>
      </c>
      <c r="N148">
        <f t="shared" si="21"/>
        <v>33.33</v>
      </c>
      <c r="O148">
        <f t="shared" si="22"/>
        <v>31.497014362644325</v>
      </c>
      <c r="P148">
        <f t="shared" si="23"/>
        <v>31.077986455435965</v>
      </c>
      <c r="Q148">
        <f t="shared" si="24"/>
        <v>28.564051418124393</v>
      </c>
    </row>
    <row r="149" spans="1:25" x14ac:dyDescent="0.45">
      <c r="A149" t="s">
        <v>316</v>
      </c>
      <c r="B149" t="s">
        <v>233</v>
      </c>
      <c r="C149" s="21">
        <v>32.909090909090907</v>
      </c>
      <c r="D149" s="21">
        <v>32.909090909090907</v>
      </c>
      <c r="E149" s="21">
        <v>32.909090909090907</v>
      </c>
      <c r="F149" s="21">
        <v>56.227272727272734</v>
      </c>
      <c r="G149" s="21">
        <v>56.227272727272734</v>
      </c>
      <c r="H149" s="21">
        <v>50.5</v>
      </c>
      <c r="I149" s="21">
        <v>52.545454545454547</v>
      </c>
      <c r="J149">
        <v>1</v>
      </c>
      <c r="K149">
        <f t="shared" si="19"/>
        <v>32.909090909090907</v>
      </c>
      <c r="L149">
        <f t="shared" si="20"/>
        <v>32.909090909090907</v>
      </c>
      <c r="M149">
        <f t="shared" si="25"/>
        <v>32.909090909090907</v>
      </c>
      <c r="N149">
        <f t="shared" si="21"/>
        <v>56.227272727272734</v>
      </c>
      <c r="O149">
        <f t="shared" si="22"/>
        <v>56.227272727272734</v>
      </c>
      <c r="P149">
        <f t="shared" si="23"/>
        <v>50.5</v>
      </c>
      <c r="Q149">
        <f t="shared" si="24"/>
        <v>52.545454545454547</v>
      </c>
    </row>
    <row r="150" spans="1:25" x14ac:dyDescent="0.45">
      <c r="A150" t="s">
        <v>241</v>
      </c>
      <c r="B150" t="s">
        <v>233</v>
      </c>
      <c r="C150" s="21">
        <v>26.96</v>
      </c>
      <c r="D150" s="21">
        <v>26.96</v>
      </c>
      <c r="E150" s="21">
        <v>29.5</v>
      </c>
      <c r="F150" s="21">
        <v>24.9</v>
      </c>
      <c r="G150" s="21">
        <v>24.9</v>
      </c>
      <c r="H150" s="21">
        <v>29.5</v>
      </c>
      <c r="I150" s="21">
        <v>28</v>
      </c>
      <c r="J150">
        <v>0.66</v>
      </c>
      <c r="K150">
        <f t="shared" si="19"/>
        <v>17.793600000000001</v>
      </c>
      <c r="L150">
        <f t="shared" si="20"/>
        <v>17.793600000000001</v>
      </c>
      <c r="M150">
        <f t="shared" si="25"/>
        <v>19.470000000000002</v>
      </c>
      <c r="N150">
        <f t="shared" si="21"/>
        <v>16.434000000000001</v>
      </c>
      <c r="O150">
        <f t="shared" si="22"/>
        <v>16.434000000000001</v>
      </c>
      <c r="P150">
        <f t="shared" si="23"/>
        <v>19.470000000000002</v>
      </c>
      <c r="Q150">
        <f t="shared" si="24"/>
        <v>18.48</v>
      </c>
    </row>
    <row r="151" spans="1:25" x14ac:dyDescent="0.45">
      <c r="A151" t="s">
        <v>242</v>
      </c>
      <c r="B151" t="s">
        <v>233</v>
      </c>
      <c r="C151" s="21">
        <v>38.619999999999997</v>
      </c>
      <c r="D151" s="21">
        <v>38.619999999999997</v>
      </c>
      <c r="E151" s="21">
        <v>39.5</v>
      </c>
      <c r="F151" s="21">
        <v>37.299999999999997</v>
      </c>
      <c r="G151" s="21">
        <v>37.299999999999997</v>
      </c>
      <c r="H151" s="21">
        <v>36.200000000000003</v>
      </c>
      <c r="I151" s="21">
        <v>40.799999999999997</v>
      </c>
      <c r="J151">
        <v>1</v>
      </c>
      <c r="K151">
        <f t="shared" si="19"/>
        <v>38.619999999999997</v>
      </c>
      <c r="L151">
        <f t="shared" si="20"/>
        <v>38.619999999999997</v>
      </c>
      <c r="M151">
        <f t="shared" si="25"/>
        <v>39.5</v>
      </c>
      <c r="N151">
        <f t="shared" si="21"/>
        <v>37.299999999999997</v>
      </c>
      <c r="O151">
        <f t="shared" si="22"/>
        <v>37.299999999999997</v>
      </c>
      <c r="P151">
        <f t="shared" si="23"/>
        <v>36.200000000000003</v>
      </c>
      <c r="Q151">
        <f t="shared" si="24"/>
        <v>40.799999999999997</v>
      </c>
    </row>
    <row r="152" spans="1:25" x14ac:dyDescent="0.45">
      <c r="A152" t="s">
        <v>243</v>
      </c>
      <c r="B152" t="s">
        <v>233</v>
      </c>
      <c r="C152" s="21">
        <v>38.619999999999997</v>
      </c>
      <c r="D152" s="21">
        <v>38.619999999999997</v>
      </c>
      <c r="E152" s="21">
        <v>45.2</v>
      </c>
      <c r="F152" s="21">
        <v>42.9</v>
      </c>
      <c r="G152" s="21">
        <v>42.9</v>
      </c>
      <c r="H152" s="21">
        <v>45.6</v>
      </c>
      <c r="I152" s="21">
        <v>46.8</v>
      </c>
      <c r="J152">
        <v>1</v>
      </c>
      <c r="K152">
        <f t="shared" si="19"/>
        <v>38.619999999999997</v>
      </c>
      <c r="L152">
        <f t="shared" si="20"/>
        <v>38.619999999999997</v>
      </c>
      <c r="M152">
        <f t="shared" si="25"/>
        <v>45.2</v>
      </c>
      <c r="N152">
        <f t="shared" si="21"/>
        <v>42.9</v>
      </c>
      <c r="O152">
        <f t="shared" si="22"/>
        <v>42.9</v>
      </c>
      <c r="P152">
        <f t="shared" si="23"/>
        <v>45.6</v>
      </c>
      <c r="Q152">
        <f t="shared" si="24"/>
        <v>46.8</v>
      </c>
    </row>
    <row r="153" spans="1:25" x14ac:dyDescent="0.45">
      <c r="A153" t="s">
        <v>244</v>
      </c>
      <c r="B153" t="s">
        <v>233</v>
      </c>
      <c r="C153" s="21">
        <v>50.41</v>
      </c>
      <c r="D153" s="21">
        <v>50.41</v>
      </c>
      <c r="E153" s="21">
        <v>52.3</v>
      </c>
      <c r="F153" s="21">
        <v>47.4</v>
      </c>
      <c r="G153" s="21">
        <v>47.4</v>
      </c>
      <c r="H153" s="21">
        <v>48.6</v>
      </c>
      <c r="I153" s="21">
        <v>50.5</v>
      </c>
      <c r="J153">
        <v>1</v>
      </c>
      <c r="K153">
        <f t="shared" si="19"/>
        <v>50.41</v>
      </c>
      <c r="L153">
        <f t="shared" si="20"/>
        <v>50.41</v>
      </c>
      <c r="M153">
        <f t="shared" si="25"/>
        <v>52.3</v>
      </c>
      <c r="N153">
        <f t="shared" si="21"/>
        <v>47.4</v>
      </c>
      <c r="O153">
        <f t="shared" si="22"/>
        <v>47.4</v>
      </c>
      <c r="P153">
        <f t="shared" si="23"/>
        <v>48.6</v>
      </c>
      <c r="Q153">
        <f t="shared" si="24"/>
        <v>50.5</v>
      </c>
    </row>
    <row r="154" spans="1:25" x14ac:dyDescent="0.45">
      <c r="A154" t="s">
        <v>245</v>
      </c>
      <c r="B154" t="s">
        <v>233</v>
      </c>
      <c r="C154" s="21">
        <v>72.09</v>
      </c>
      <c r="D154" s="21">
        <v>72.09</v>
      </c>
      <c r="E154" s="21">
        <v>72.7</v>
      </c>
      <c r="F154" s="21">
        <v>72.8</v>
      </c>
      <c r="G154" s="21">
        <v>72.8</v>
      </c>
      <c r="H154" s="21">
        <v>72.7</v>
      </c>
      <c r="I154" s="21">
        <v>72.400000000000006</v>
      </c>
      <c r="J154">
        <v>1</v>
      </c>
      <c r="K154">
        <f t="shared" si="19"/>
        <v>72.09</v>
      </c>
      <c r="L154">
        <f t="shared" si="20"/>
        <v>72.09</v>
      </c>
      <c r="M154">
        <f t="shared" si="25"/>
        <v>72.7</v>
      </c>
      <c r="N154">
        <f t="shared" si="21"/>
        <v>72.8</v>
      </c>
      <c r="O154">
        <f t="shared" si="22"/>
        <v>72.8</v>
      </c>
      <c r="P154">
        <f t="shared" si="23"/>
        <v>72.7</v>
      </c>
      <c r="Q154">
        <f t="shared" si="24"/>
        <v>72.400000000000006</v>
      </c>
    </row>
    <row r="155" spans="1:25" x14ac:dyDescent="0.45">
      <c r="A155" t="s">
        <v>317</v>
      </c>
      <c r="B155" t="s">
        <v>233</v>
      </c>
      <c r="C155" s="21">
        <v>2.1913211498563703</v>
      </c>
      <c r="D155" s="21">
        <v>28.814475183006007</v>
      </c>
      <c r="E155" s="21">
        <v>50.499999999999993</v>
      </c>
      <c r="F155" s="21">
        <v>65.13518946209075</v>
      </c>
      <c r="G155" s="21">
        <v>72.896075127643883</v>
      </c>
      <c r="H155" s="21">
        <v>46.862870399441753</v>
      </c>
      <c r="I155" s="21">
        <v>56.077305632009015</v>
      </c>
      <c r="J155">
        <v>1</v>
      </c>
      <c r="K155">
        <f t="shared" si="19"/>
        <v>2.1913211498563703</v>
      </c>
      <c r="L155">
        <f t="shared" si="20"/>
        <v>28.814475183006007</v>
      </c>
      <c r="M155">
        <f t="shared" si="25"/>
        <v>50.499999999999993</v>
      </c>
      <c r="N155">
        <f t="shared" si="21"/>
        <v>65.13518946209075</v>
      </c>
      <c r="O155">
        <f t="shared" si="22"/>
        <v>72.896075127643883</v>
      </c>
      <c r="P155">
        <f t="shared" si="23"/>
        <v>46.862870399441753</v>
      </c>
      <c r="Q155">
        <f t="shared" si="24"/>
        <v>56.077305632009015</v>
      </c>
    </row>
    <row r="156" spans="1:25" x14ac:dyDescent="0.45">
      <c r="A156" t="s">
        <v>318</v>
      </c>
      <c r="B156" t="s">
        <v>233</v>
      </c>
      <c r="C156" s="21">
        <v>6.0905540649382743</v>
      </c>
      <c r="D156" s="21">
        <v>1</v>
      </c>
      <c r="E156" s="21">
        <v>65.116625849032133</v>
      </c>
      <c r="F156" s="21">
        <v>58.667145327942578</v>
      </c>
      <c r="G156" s="21">
        <v>46.427646989952947</v>
      </c>
      <c r="H156" s="21">
        <v>50.5</v>
      </c>
      <c r="I156" s="21">
        <v>63.4115510014135</v>
      </c>
      <c r="J156">
        <v>1</v>
      </c>
      <c r="K156">
        <f t="shared" si="19"/>
        <v>6.0905540649382743</v>
      </c>
      <c r="L156">
        <f t="shared" si="20"/>
        <v>1</v>
      </c>
      <c r="M156">
        <f t="shared" si="25"/>
        <v>65.116625849032133</v>
      </c>
      <c r="N156">
        <f t="shared" si="21"/>
        <v>58.667145327942578</v>
      </c>
      <c r="O156">
        <f t="shared" si="22"/>
        <v>46.427646989952947</v>
      </c>
      <c r="P156">
        <f t="shared" si="23"/>
        <v>50.5</v>
      </c>
      <c r="Q156">
        <f t="shared" si="24"/>
        <v>63.4115510014135</v>
      </c>
    </row>
    <row r="157" spans="1:25" x14ac:dyDescent="0.45">
      <c r="A157" t="s">
        <v>249</v>
      </c>
      <c r="B157" t="s">
        <v>233</v>
      </c>
      <c r="C157" s="21">
        <v>1</v>
      </c>
      <c r="D157" s="21">
        <v>34.430970149253731</v>
      </c>
      <c r="E157" s="21">
        <v>40.618470149253731</v>
      </c>
      <c r="F157" s="21">
        <v>50.5</v>
      </c>
      <c r="G157" s="21">
        <v>86.424440298507463</v>
      </c>
      <c r="H157" s="21">
        <v>99.538246268656721</v>
      </c>
      <c r="I157" s="21">
        <v>100</v>
      </c>
      <c r="J157">
        <v>1</v>
      </c>
      <c r="K157">
        <f t="shared" si="19"/>
        <v>1</v>
      </c>
      <c r="L157">
        <f t="shared" si="20"/>
        <v>34.430970149253731</v>
      </c>
      <c r="M157">
        <f t="shared" si="25"/>
        <v>40.618470149253731</v>
      </c>
      <c r="N157">
        <f t="shared" si="21"/>
        <v>50.5</v>
      </c>
      <c r="O157">
        <f t="shared" si="22"/>
        <v>86.424440298507463</v>
      </c>
      <c r="P157">
        <f t="shared" si="23"/>
        <v>99.538246268656721</v>
      </c>
      <c r="Q157">
        <f t="shared" si="24"/>
        <v>100</v>
      </c>
    </row>
    <row r="158" spans="1:25" x14ac:dyDescent="0.45">
      <c r="A158" t="s">
        <v>148</v>
      </c>
      <c r="B158" t="s">
        <v>112</v>
      </c>
      <c r="C158" s="21">
        <v>46.979145386275079</v>
      </c>
      <c r="D158" s="21">
        <v>50.500000000000014</v>
      </c>
      <c r="E158" s="21">
        <v>46.075828151584169</v>
      </c>
      <c r="F158" s="21">
        <v>45.891820917465942</v>
      </c>
      <c r="G158" s="21">
        <v>52.630760301222082</v>
      </c>
      <c r="H158" s="21">
        <v>59.818972737303731</v>
      </c>
      <c r="I158" s="21">
        <v>62.415012858815565</v>
      </c>
      <c r="J158">
        <v>1</v>
      </c>
      <c r="K158">
        <f t="shared" si="19"/>
        <v>46.979145386275079</v>
      </c>
      <c r="L158">
        <f t="shared" si="20"/>
        <v>50.500000000000014</v>
      </c>
      <c r="M158">
        <f t="shared" si="25"/>
        <v>46.075828151584169</v>
      </c>
      <c r="N158">
        <f t="shared" si="21"/>
        <v>45.891820917465942</v>
      </c>
      <c r="O158">
        <f t="shared" si="22"/>
        <v>52.630760301222082</v>
      </c>
      <c r="P158">
        <f t="shared" si="23"/>
        <v>59.818972737303731</v>
      </c>
      <c r="Q158">
        <f t="shared" si="24"/>
        <v>62.415012858815565</v>
      </c>
    </row>
    <row r="159" spans="1:25" x14ac:dyDescent="0.45">
      <c r="A159" t="s">
        <v>150</v>
      </c>
      <c r="B159" t="s">
        <v>112</v>
      </c>
      <c r="C159" s="21">
        <v>48.014956249357581</v>
      </c>
      <c r="D159" s="21">
        <v>50.499999999999993</v>
      </c>
      <c r="E159" s="21">
        <v>43.795218594287618</v>
      </c>
      <c r="F159" s="21">
        <v>46.79024535576599</v>
      </c>
      <c r="G159" s="21">
        <v>77.892234593632992</v>
      </c>
      <c r="H159" s="21">
        <v>66.085115568067508</v>
      </c>
      <c r="I159" s="21">
        <v>68.993741570814521</v>
      </c>
      <c r="J159">
        <v>1</v>
      </c>
      <c r="K159">
        <f t="shared" si="19"/>
        <v>48.014956249357581</v>
      </c>
      <c r="L159">
        <f t="shared" si="20"/>
        <v>50.499999999999993</v>
      </c>
      <c r="M159">
        <f t="shared" si="25"/>
        <v>43.795218594287618</v>
      </c>
      <c r="N159">
        <f t="shared" si="21"/>
        <v>46.79024535576599</v>
      </c>
      <c r="O159">
        <f t="shared" si="22"/>
        <v>77.892234593632992</v>
      </c>
      <c r="P159">
        <f t="shared" si="23"/>
        <v>66.085115568067508</v>
      </c>
      <c r="Q159">
        <f t="shared" si="24"/>
        <v>68.993741570814521</v>
      </c>
      <c r="R159">
        <f>SUM(J145:J159)</f>
        <v>13.98</v>
      </c>
      <c r="S159">
        <f>SUM(K145:K159)/$R159</f>
        <v>40.369642170765736</v>
      </c>
      <c r="T159">
        <f t="shared" ref="T159:Y159" si="28">SUM(L145:L159)/$R159</f>
        <v>44.388805845498375</v>
      </c>
      <c r="U159">
        <f t="shared" si="28"/>
        <v>41.460160721636306</v>
      </c>
      <c r="V159">
        <f t="shared" si="28"/>
        <v>43.541178382728035</v>
      </c>
      <c r="W159">
        <f t="shared" si="28"/>
        <v>52.185044452995562</v>
      </c>
      <c r="X159">
        <f t="shared" si="28"/>
        <v>54.419804575272337</v>
      </c>
      <c r="Y159">
        <f t="shared" si="28"/>
        <v>57.457300276849828</v>
      </c>
    </row>
  </sheetData>
  <pageMargins left="0.7" right="0.7" top="0.75" bottom="0.75" header="0.3" footer="0.3"/>
  <ignoredErrors>
    <ignoredError sqref="R67 R32 R144" formulaRange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9C9C2A-3D63-45F5-BB90-5A3624005662}">
  <dimension ref="B1:I9"/>
  <sheetViews>
    <sheetView workbookViewId="0">
      <selection activeCell="C9" sqref="C9"/>
    </sheetView>
  </sheetViews>
  <sheetFormatPr defaultRowHeight="14.25" x14ac:dyDescent="0.45"/>
  <cols>
    <col min="2" max="2" width="18.1328125" bestFit="1" customWidth="1"/>
    <col min="3" max="9" width="10.19921875" bestFit="1" customWidth="1"/>
  </cols>
  <sheetData>
    <row r="1" spans="2:9" x14ac:dyDescent="0.45">
      <c r="C1">
        <v>2018</v>
      </c>
      <c r="D1">
        <v>2019</v>
      </c>
      <c r="E1">
        <v>2020</v>
      </c>
      <c r="F1">
        <v>2021</v>
      </c>
      <c r="G1">
        <v>2022</v>
      </c>
      <c r="H1">
        <v>2023</v>
      </c>
      <c r="I1">
        <v>2024</v>
      </c>
    </row>
    <row r="2" spans="2:9" x14ac:dyDescent="0.45">
      <c r="B2" t="s">
        <v>8</v>
      </c>
      <c r="C2" s="25">
        <f>'BOI súlyozás'!S32</f>
        <v>50.030288577004306</v>
      </c>
      <c r="D2" s="25">
        <f>'BOI súlyozás'!T32</f>
        <v>50.35613216012073</v>
      </c>
      <c r="E2" s="25">
        <f>'BOI súlyozás'!U32</f>
        <v>46.387126952295041</v>
      </c>
      <c r="F2" s="25">
        <f>'BOI súlyozás'!V32</f>
        <v>45.355347913591721</v>
      </c>
      <c r="G2" s="25">
        <f>'BOI súlyozás'!W32</f>
        <v>49.547505798812239</v>
      </c>
      <c r="H2" s="25">
        <f>'BOI súlyozás'!X32</f>
        <v>56.220040833368678</v>
      </c>
      <c r="I2" s="25">
        <f>'BOI súlyozás'!Y32</f>
        <v>59.008728798235445</v>
      </c>
    </row>
    <row r="3" spans="2:9" x14ac:dyDescent="0.45">
      <c r="B3" t="s">
        <v>65</v>
      </c>
      <c r="C3" s="25">
        <f>'BOI súlyozás'!S67</f>
        <v>40.238663181645229</v>
      </c>
      <c r="D3" s="25">
        <f>'BOI súlyozás'!T67</f>
        <v>45.342881841567312</v>
      </c>
      <c r="E3" s="25">
        <f>'BOI súlyozás'!U67</f>
        <v>45.345583414817192</v>
      </c>
      <c r="F3" s="25">
        <f>'BOI súlyozás'!V67</f>
        <v>50.158394649998705</v>
      </c>
      <c r="G3" s="25">
        <f>'BOI súlyozás'!W67</f>
        <v>53.752987547277527</v>
      </c>
      <c r="H3" s="25">
        <f>'BOI súlyozás'!X67</f>
        <v>54.553848982019943</v>
      </c>
      <c r="I3" s="25">
        <f>'BOI súlyozás'!Y67</f>
        <v>52.49544661891413</v>
      </c>
    </row>
    <row r="4" spans="2:9" x14ac:dyDescent="0.45">
      <c r="B4" t="s">
        <v>112</v>
      </c>
      <c r="C4" s="25">
        <f>'BOI súlyozás'!S92</f>
        <v>40.389960664915264</v>
      </c>
      <c r="D4" s="25">
        <f>'BOI súlyozás'!T92</f>
        <v>45.191308488139065</v>
      </c>
      <c r="E4" s="25">
        <f>'BOI súlyozás'!U92</f>
        <v>46.237987046601425</v>
      </c>
      <c r="F4" s="25">
        <f>'BOI súlyozás'!V92</f>
        <v>51.464535617120738</v>
      </c>
      <c r="G4" s="25">
        <f>'BOI súlyozás'!W92</f>
        <v>53.578836287469976</v>
      </c>
      <c r="H4" s="25">
        <f>'BOI súlyozás'!X92</f>
        <v>58.493489892898829</v>
      </c>
      <c r="I4" s="25">
        <f>'BOI súlyozás'!Y92</f>
        <v>59.543862484267294</v>
      </c>
    </row>
    <row r="5" spans="2:9" x14ac:dyDescent="0.45">
      <c r="B5" t="s">
        <v>152</v>
      </c>
      <c r="C5" s="25">
        <f>'BOI súlyozás'!S110</f>
        <v>54.975037225181815</v>
      </c>
      <c r="D5" s="25">
        <f>'BOI súlyozás'!T110</f>
        <v>57.127403733238509</v>
      </c>
      <c r="E5" s="25">
        <f>'BOI súlyozás'!U110</f>
        <v>62.024423275792536</v>
      </c>
      <c r="F5" s="25">
        <f>'BOI súlyozás'!V110</f>
        <v>59.243149664726793</v>
      </c>
      <c r="G5" s="25">
        <f>'BOI súlyozás'!W110</f>
        <v>61.420405518065621</v>
      </c>
      <c r="H5" s="25">
        <f>'BOI súlyozás'!X110</f>
        <v>61.644170535852346</v>
      </c>
      <c r="I5" s="25">
        <f>'BOI súlyozás'!Y110</f>
        <v>62.183487788507392</v>
      </c>
    </row>
    <row r="6" spans="2:9" x14ac:dyDescent="0.45">
      <c r="B6" t="s">
        <v>179</v>
      </c>
      <c r="C6" s="25">
        <f>'BOI súlyozás'!S144</f>
        <v>45.751765290789521</v>
      </c>
      <c r="D6" s="25">
        <f>'BOI súlyozás'!T144</f>
        <v>53.087617414204836</v>
      </c>
      <c r="E6" s="25">
        <f>'BOI súlyozás'!U144</f>
        <v>49.548622092661958</v>
      </c>
      <c r="F6" s="25">
        <f>'BOI súlyozás'!V144</f>
        <v>50.620660764332207</v>
      </c>
      <c r="G6" s="25">
        <f>'BOI súlyozás'!W144</f>
        <v>56.199935628311813</v>
      </c>
      <c r="H6" s="25">
        <f>'BOI súlyozás'!X144</f>
        <v>56.45194040904633</v>
      </c>
      <c r="I6" s="25">
        <f>'BOI súlyozás'!Y144</f>
        <v>50.34000629131512</v>
      </c>
    </row>
    <row r="7" spans="2:9" x14ac:dyDescent="0.45">
      <c r="B7" t="s">
        <v>233</v>
      </c>
      <c r="C7" s="25">
        <f>'BOI súlyozás'!S159</f>
        <v>40.369642170765736</v>
      </c>
      <c r="D7" s="25">
        <f>'BOI súlyozás'!T159</f>
        <v>44.388805845498375</v>
      </c>
      <c r="E7" s="25">
        <f>'BOI súlyozás'!U159</f>
        <v>41.460160721636306</v>
      </c>
      <c r="F7" s="25">
        <f>'BOI súlyozás'!V159</f>
        <v>43.541178382728035</v>
      </c>
      <c r="G7" s="25">
        <f>'BOI súlyozás'!W159</f>
        <v>52.185044452995562</v>
      </c>
      <c r="H7" s="25">
        <f>'BOI súlyozás'!X159</f>
        <v>54.419804575272337</v>
      </c>
      <c r="I7" s="25">
        <f>'BOI súlyozás'!Y159</f>
        <v>57.457300276849828</v>
      </c>
    </row>
    <row r="9" spans="2:9" x14ac:dyDescent="0.45">
      <c r="B9" t="s">
        <v>328</v>
      </c>
      <c r="C9">
        <f>AVERAGE(C2:C7)</f>
        <v>45.292559518383648</v>
      </c>
      <c r="D9">
        <f t="shared" ref="D9:I9" si="0">AVERAGE(D2:D7)</f>
        <v>49.249024913794806</v>
      </c>
      <c r="E9">
        <f t="shared" si="0"/>
        <v>48.500650583967406</v>
      </c>
      <c r="F9">
        <f t="shared" si="0"/>
        <v>50.06387783208303</v>
      </c>
      <c r="G9">
        <f t="shared" si="0"/>
        <v>54.44745253882212</v>
      </c>
      <c r="H9">
        <f t="shared" si="0"/>
        <v>56.963882538076405</v>
      </c>
      <c r="I9">
        <f t="shared" si="0"/>
        <v>56.838138709681537</v>
      </c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41A860-0278-4313-AFD4-2A387E39E450}">
  <dimension ref="B2:I5"/>
  <sheetViews>
    <sheetView workbookViewId="0">
      <selection activeCell="I3" sqref="I3"/>
    </sheetView>
  </sheetViews>
  <sheetFormatPr defaultRowHeight="14.25" x14ac:dyDescent="0.45"/>
  <cols>
    <col min="2" max="2" width="28" customWidth="1"/>
  </cols>
  <sheetData>
    <row r="2" spans="2:9" x14ac:dyDescent="0.45">
      <c r="B2" t="s">
        <v>329</v>
      </c>
      <c r="C2" t="s">
        <v>330</v>
      </c>
      <c r="D2" t="s">
        <v>331</v>
      </c>
      <c r="E2" t="s">
        <v>332</v>
      </c>
      <c r="F2" t="s">
        <v>333</v>
      </c>
      <c r="G2" t="s">
        <v>334</v>
      </c>
      <c r="H2" t="s">
        <v>335</v>
      </c>
      <c r="I2" t="s">
        <v>336</v>
      </c>
    </row>
    <row r="3" spans="2:9" x14ac:dyDescent="0.45">
      <c r="C3" s="14">
        <f>C5/1000</f>
        <v>1722.6980000000001</v>
      </c>
      <c r="D3" s="14">
        <f t="shared" ref="D3:I3" si="0">D5/1000</f>
        <v>1719.7529999999999</v>
      </c>
      <c r="E3" s="14">
        <f t="shared" si="0"/>
        <v>1703.8230000000001</v>
      </c>
      <c r="F3" s="14">
        <f t="shared" si="0"/>
        <v>1681.473</v>
      </c>
      <c r="G3" s="14">
        <f t="shared" si="0"/>
        <v>1671.723</v>
      </c>
      <c r="H3" s="14">
        <f t="shared" si="0"/>
        <v>1678.6130000000001</v>
      </c>
      <c r="I3" s="14">
        <f t="shared" si="0"/>
        <v>1685.7149999999999</v>
      </c>
    </row>
    <row r="5" spans="2:9" x14ac:dyDescent="0.45">
      <c r="C5">
        <v>1722698</v>
      </c>
      <c r="D5">
        <v>1719753</v>
      </c>
      <c r="E5">
        <v>1703823</v>
      </c>
      <c r="F5">
        <v>1681473</v>
      </c>
      <c r="G5">
        <v>1671723</v>
      </c>
      <c r="H5">
        <v>1678613</v>
      </c>
      <c r="I5">
        <v>1685715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5CB280-9BF3-4069-B2F6-DC2D2DB288CE}">
  <dimension ref="B2:I7"/>
  <sheetViews>
    <sheetView workbookViewId="0">
      <selection activeCell="B7" sqref="B7"/>
    </sheetView>
  </sheetViews>
  <sheetFormatPr defaultRowHeight="14.25" x14ac:dyDescent="0.45"/>
  <cols>
    <col min="2" max="2" width="40.33203125" bestFit="1" customWidth="1"/>
  </cols>
  <sheetData>
    <row r="2" spans="2:9" x14ac:dyDescent="0.45">
      <c r="C2">
        <v>2018</v>
      </c>
      <c r="D2">
        <v>2019</v>
      </c>
      <c r="E2">
        <v>2020</v>
      </c>
      <c r="F2">
        <v>2021</v>
      </c>
      <c r="G2">
        <v>2022</v>
      </c>
      <c r="H2">
        <v>2023</v>
      </c>
      <c r="I2">
        <v>2024</v>
      </c>
    </row>
    <row r="3" spans="2:9" x14ac:dyDescent="0.45">
      <c r="B3" t="s">
        <v>348</v>
      </c>
      <c r="C3">
        <f>1717041</f>
        <v>1717041</v>
      </c>
      <c r="D3">
        <v>1938922</v>
      </c>
      <c r="E3">
        <v>2238125</v>
      </c>
      <c r="F3">
        <v>2471674</v>
      </c>
      <c r="G3">
        <v>2828776</v>
      </c>
      <c r="H3">
        <v>3338670</v>
      </c>
      <c r="I3">
        <v>3729451</v>
      </c>
    </row>
    <row r="4" spans="2:9" x14ac:dyDescent="0.45">
      <c r="B4" t="s">
        <v>349</v>
      </c>
      <c r="D4">
        <f>D3/C3-1</f>
        <v>0.12922288984363206</v>
      </c>
      <c r="E4">
        <f t="shared" ref="E4:I4" si="0">E3/D3-1</f>
        <v>0.15431409824634512</v>
      </c>
      <c r="F4">
        <f t="shared" si="0"/>
        <v>0.10435029321418599</v>
      </c>
      <c r="G4">
        <f t="shared" si="0"/>
        <v>0.14447779116501613</v>
      </c>
      <c r="H4">
        <f t="shared" si="0"/>
        <v>0.18025251911073914</v>
      </c>
      <c r="I4">
        <f t="shared" si="0"/>
        <v>0.11704690790045147</v>
      </c>
    </row>
    <row r="5" spans="2:9" x14ac:dyDescent="0.45">
      <c r="B5" t="s">
        <v>350</v>
      </c>
      <c r="D5">
        <v>3.4000000000000002E-2</v>
      </c>
      <c r="E5">
        <v>3.3000000000000002E-2</v>
      </c>
      <c r="F5">
        <v>5.0999999999999997E-2</v>
      </c>
      <c r="G5">
        <v>0.14499999999999999</v>
      </c>
      <c r="H5">
        <v>0.17599999999999999</v>
      </c>
      <c r="I5">
        <v>3.6999999999999998E-2</v>
      </c>
    </row>
    <row r="6" spans="2:9" x14ac:dyDescent="0.45">
      <c r="B6" t="s">
        <v>352</v>
      </c>
      <c r="D6">
        <f>D4-D5</f>
        <v>9.5222889843632058E-2</v>
      </c>
      <c r="E6">
        <f t="shared" ref="E6:I6" si="1">E4-E5</f>
        <v>0.12131409824634512</v>
      </c>
      <c r="F6">
        <f t="shared" si="1"/>
        <v>5.3350293214185988E-2</v>
      </c>
      <c r="G6">
        <f t="shared" si="1"/>
        <v>-5.2220883498385606E-4</v>
      </c>
      <c r="H6">
        <f t="shared" si="1"/>
        <v>4.2525191107391502E-3</v>
      </c>
      <c r="I6">
        <f t="shared" si="1"/>
        <v>8.0046907900451464E-2</v>
      </c>
    </row>
    <row r="7" spans="2:9" x14ac:dyDescent="0.45">
      <c r="B7" t="s">
        <v>351</v>
      </c>
      <c r="C7">
        <f>C3</f>
        <v>1717041</v>
      </c>
      <c r="D7">
        <f>C7*(1+D6)</f>
        <v>1880542.6059999997</v>
      </c>
      <c r="E7">
        <f t="shared" ref="E7:I7" si="2">D7*(1+E6)</f>
        <v>2108678.9364607218</v>
      </c>
      <c r="F7">
        <f t="shared" si="2"/>
        <v>2221177.5760154794</v>
      </c>
      <c r="G7">
        <f t="shared" si="2"/>
        <v>2220017.6574612162</v>
      </c>
      <c r="H7">
        <f t="shared" si="2"/>
        <v>2229458.3249757485</v>
      </c>
      <c r="I7">
        <f t="shared" si="2"/>
        <v>2407919.5701829772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30F2E9-3F0C-433C-AD47-6548420C5F2C}">
  <dimension ref="B2:H13"/>
  <sheetViews>
    <sheetView workbookViewId="0">
      <selection activeCell="G11" sqref="G11:H12"/>
    </sheetView>
  </sheetViews>
  <sheetFormatPr defaultRowHeight="14.25" x14ac:dyDescent="0.45"/>
  <cols>
    <col min="2" max="2" width="9.796875" bestFit="1" customWidth="1"/>
  </cols>
  <sheetData>
    <row r="2" spans="2:8" x14ac:dyDescent="0.45">
      <c r="B2" t="s">
        <v>3</v>
      </c>
    </row>
    <row r="3" spans="2:8" ht="14.65" thickBot="1" x14ac:dyDescent="0.5"/>
    <row r="4" spans="2:8" ht="14.65" thickBot="1" x14ac:dyDescent="0.5">
      <c r="B4" t="s">
        <v>337</v>
      </c>
      <c r="D4" s="31" t="s">
        <v>338</v>
      </c>
      <c r="E4" s="32"/>
      <c r="G4" s="31" t="s">
        <v>339</v>
      </c>
      <c r="H4" s="32"/>
    </row>
    <row r="5" spans="2:8" x14ac:dyDescent="0.45">
      <c r="D5" s="33" t="s">
        <v>340</v>
      </c>
      <c r="E5" s="34"/>
      <c r="F5" s="1" t="s">
        <v>341</v>
      </c>
      <c r="G5" s="33" t="s">
        <v>342</v>
      </c>
      <c r="H5" s="34"/>
    </row>
    <row r="6" spans="2:8" ht="14.65" thickBot="1" x14ac:dyDescent="0.5">
      <c r="D6" s="35"/>
      <c r="E6" s="36"/>
      <c r="G6" s="35"/>
      <c r="H6" s="36"/>
    </row>
    <row r="7" spans="2:8" ht="14.25" customHeight="1" thickBot="1" x14ac:dyDescent="0.5"/>
    <row r="8" spans="2:8" x14ac:dyDescent="0.45">
      <c r="B8" t="s">
        <v>343</v>
      </c>
      <c r="D8" s="33" t="s">
        <v>344</v>
      </c>
      <c r="E8" s="34"/>
      <c r="G8" s="33" t="s">
        <v>345</v>
      </c>
      <c r="H8" s="34"/>
    </row>
    <row r="9" spans="2:8" ht="14.65" thickBot="1" x14ac:dyDescent="0.5">
      <c r="D9" s="35"/>
      <c r="E9" s="36"/>
      <c r="G9" s="35"/>
      <c r="H9" s="36"/>
    </row>
    <row r="10" spans="2:8" ht="14.65" thickBot="1" x14ac:dyDescent="0.5"/>
    <row r="11" spans="2:8" ht="14.25" customHeight="1" x14ac:dyDescent="0.45">
      <c r="D11" s="37" t="s">
        <v>353</v>
      </c>
      <c r="E11" s="38"/>
      <c r="G11" s="43" t="s">
        <v>354</v>
      </c>
      <c r="H11" s="44"/>
    </row>
    <row r="12" spans="2:8" ht="14.65" thickBot="1" x14ac:dyDescent="0.5">
      <c r="D12" s="39"/>
      <c r="E12" s="40"/>
      <c r="G12" s="45"/>
      <c r="H12" s="46"/>
    </row>
    <row r="13" spans="2:8" ht="14.65" thickBot="1" x14ac:dyDescent="0.5">
      <c r="D13" s="41"/>
      <c r="E13" s="42"/>
    </row>
  </sheetData>
  <mergeCells count="8">
    <mergeCell ref="D4:E4"/>
    <mergeCell ref="G4:H4"/>
    <mergeCell ref="G8:H9"/>
    <mergeCell ref="D8:E9"/>
    <mergeCell ref="D11:E13"/>
    <mergeCell ref="D5:E6"/>
    <mergeCell ref="G5:H6"/>
    <mergeCell ref="G11:H1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0868f61-54e3-41ae-89c8-83399a4c5fec">
      <Terms xmlns="http://schemas.microsoft.com/office/infopath/2007/PartnerControls"/>
    </lcf76f155ced4ddcb4097134ff3c332f>
    <TaxCatchAll xmlns="25f59828-6376-488e-aa8f-1f67a6c72c70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um" ma:contentTypeID="0x010100D53BAF8F7F9C7F429FB6C22539EE8FA4" ma:contentTypeVersion="15" ma:contentTypeDescription="Új dokumentum létrehozása." ma:contentTypeScope="" ma:versionID="627d3dee72069edf637e2c13c977e78e">
  <xsd:schema xmlns:xsd="http://www.w3.org/2001/XMLSchema" xmlns:xs="http://www.w3.org/2001/XMLSchema" xmlns:p="http://schemas.microsoft.com/office/2006/metadata/properties" xmlns:ns2="a0868f61-54e3-41ae-89c8-83399a4c5fec" xmlns:ns3="25f59828-6376-488e-aa8f-1f67a6c72c70" targetNamespace="http://schemas.microsoft.com/office/2006/metadata/properties" ma:root="true" ma:fieldsID="017bb6d49d8dcedf4df951c5848835ca" ns2:_="" ns3:_="">
    <xsd:import namespace="a0868f61-54e3-41ae-89c8-83399a4c5fec"/>
    <xsd:import namespace="25f59828-6376-488e-aa8f-1f67a6c72c7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868f61-54e3-41ae-89c8-83399a4c5fe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Képcímkék" ma:readOnly="false" ma:fieldId="{5cf76f15-5ced-4ddc-b409-7134ff3c332f}" ma:taxonomyMulti="true" ma:sspId="4fc2347c-310e-41aa-b7e8-42b86cd9f025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f59828-6376-488e-aa8f-1f67a6c72c70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41f6c2f9-9454-4cdf-9c90-e917450cf9c2}" ma:internalName="TaxCatchAll" ma:showField="CatchAllData" ma:web="25f59828-6376-488e-aa8f-1f67a6c72c70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19" nillable="true" ma:displayName="Résztvevők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Megosztva részletekkel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artalomtípus"/>
        <xsd:element ref="dc:title" minOccurs="0" maxOccurs="1" ma:index="4" ma:displayName="Cím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DA45300-E46A-4102-BF57-5FBD891573C5}">
  <ds:schemaRefs>
    <ds:schemaRef ds:uri="a0868f61-54e3-41ae-89c8-83399a4c5fec"/>
    <ds:schemaRef ds:uri="http://purl.org/dc/elements/1.1/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25f59828-6376-488e-aa8f-1f67a6c72c70"/>
    <ds:schemaRef ds:uri="http://schemas.microsoft.com/office/2006/metadata/properties"/>
    <ds:schemaRef ds:uri="http://schemas.microsoft.com/office/infopath/2007/PartnerControl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DFC44655-100E-4F8D-843B-EFF2908B08B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C6EAE40-F334-45A3-A1A4-22318E4FBFA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0868f61-54e3-41ae-89c8-83399a4c5fec"/>
    <ds:schemaRef ds:uri="25f59828-6376-488e-aa8f-1f67a6c72c7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BOI indikátorok és módszertan</vt:lpstr>
      <vt:lpstr>BOI</vt:lpstr>
      <vt:lpstr>BOI súlyozás</vt:lpstr>
      <vt:lpstr>BOI súlyozott átlagok</vt:lpstr>
      <vt:lpstr>Lakosságszám</vt:lpstr>
      <vt:lpstr>Jövedelem</vt:lpstr>
      <vt:lpstr>Módszertan leírás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Halász Márk</dc:creator>
  <cp:keywords/>
  <dc:description/>
  <cp:lastModifiedBy>Halász Márk</cp:lastModifiedBy>
  <cp:revision/>
  <dcterms:created xsi:type="dcterms:W3CDTF">2025-10-30T13:49:31Z</dcterms:created>
  <dcterms:modified xsi:type="dcterms:W3CDTF">2026-02-19T14:42:39Z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0x010100D53BAF8F7F9C7F429FB6C22539EE8FA4</vt:lpwstr>
  </property>
  <property fmtid="{D5CDD505-2E9C-101B-9397-08002B2CF9AE}" pid="3" name="MediaServiceImageTags">
    <vt:lpwstr/>
  </property>
</Properties>
</file>